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4FY\"/>
    </mc:Choice>
  </mc:AlternateContent>
  <bookViews>
    <workbookView xWindow="285" yWindow="0" windowWidth="13710" windowHeight="13395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Town'!$A$1:$O$32</definedName>
    <definedName name="_xlnm.Print_Area" localSheetId="3">'Mardi Gras'!$A$1:$O$41</definedName>
    <definedName name="_xlnm.Print_Area" localSheetId="1">Mountaineer!$A$1:$O$35</definedName>
    <definedName name="_xlnm.Print_Area" localSheetId="0">Summary!$A$1:$O$26</definedName>
    <definedName name="_xlnm.Print_Area" localSheetId="2">Wheeling!$A$1:$O$41</definedName>
  </definedNames>
  <calcPr calcId="162913" iterateDelta="1E-4"/>
</workbook>
</file>

<file path=xl/calcChain.xml><?xml version="1.0" encoding="utf-8"?>
<calcChain xmlns="http://schemas.openxmlformats.org/spreadsheetml/2006/main">
  <c r="O20" i="4" l="1"/>
  <c r="O20" i="1"/>
  <c r="N20" i="1"/>
  <c r="M20" i="1"/>
  <c r="L20" i="1"/>
  <c r="I20" i="1"/>
  <c r="H20" i="1"/>
  <c r="D20" i="1"/>
  <c r="C20" i="1"/>
  <c r="O20" i="2"/>
  <c r="N20" i="2"/>
  <c r="L20" i="2"/>
  <c r="I20" i="2"/>
  <c r="G20" i="2"/>
  <c r="E20" i="2"/>
  <c r="D20" i="2"/>
  <c r="C20" i="2"/>
  <c r="O20" i="3"/>
  <c r="N20" i="3"/>
  <c r="L20" i="3"/>
  <c r="I20" i="3"/>
  <c r="G20" i="3"/>
  <c r="D20" i="3"/>
  <c r="C20" i="3"/>
  <c r="N20" i="4"/>
  <c r="L20" i="4"/>
  <c r="I20" i="4"/>
  <c r="H20" i="4"/>
  <c r="G20" i="4"/>
  <c r="D20" i="4"/>
  <c r="K21" i="5" l="1"/>
  <c r="B21" i="5"/>
  <c r="F20" i="4"/>
  <c r="C20" i="4"/>
  <c r="M20" i="4"/>
  <c r="J20" i="4"/>
  <c r="E20" i="4"/>
  <c r="M20" i="3"/>
  <c r="J20" i="3"/>
  <c r="H20" i="3"/>
  <c r="F20" i="3"/>
  <c r="E20" i="3"/>
  <c r="E21" i="5" s="1"/>
  <c r="M20" i="2"/>
  <c r="J20" i="2"/>
  <c r="H20" i="2"/>
  <c r="F20" i="2"/>
  <c r="D21" i="5"/>
  <c r="O21" i="5"/>
  <c r="N21" i="5"/>
  <c r="L21" i="5"/>
  <c r="I21" i="5"/>
  <c r="G20" i="1"/>
  <c r="G21" i="5" s="1"/>
  <c r="J20" i="1"/>
  <c r="F20" i="1"/>
  <c r="E20" i="1"/>
  <c r="F21" i="5" l="1"/>
  <c r="H21" i="5"/>
  <c r="J21" i="5"/>
  <c r="M21" i="5"/>
  <c r="C21" i="5"/>
  <c r="L19" i="4"/>
  <c r="L19" i="3"/>
  <c r="L19" i="2"/>
  <c r="O19" i="4" l="1"/>
  <c r="N19" i="4"/>
  <c r="I19" i="4"/>
  <c r="H19" i="4"/>
  <c r="G19" i="4"/>
  <c r="F19" i="4"/>
  <c r="D19" i="4"/>
  <c r="C19" i="4"/>
  <c r="O19" i="3"/>
  <c r="N19" i="3"/>
  <c r="O19" i="2"/>
  <c r="N19" i="2"/>
  <c r="O19" i="1"/>
  <c r="N19" i="1"/>
  <c r="M19" i="3"/>
  <c r="J19" i="3"/>
  <c r="I19" i="3"/>
  <c r="H19" i="3"/>
  <c r="G19" i="3"/>
  <c r="F19" i="3"/>
  <c r="D19" i="3"/>
  <c r="C19" i="3"/>
  <c r="L19" i="1"/>
  <c r="I19" i="1"/>
  <c r="H19" i="1"/>
  <c r="G19" i="1"/>
  <c r="D19" i="1"/>
  <c r="C19" i="1"/>
  <c r="K20" i="5" l="1"/>
  <c r="B20" i="5"/>
  <c r="M19" i="4"/>
  <c r="L20" i="5"/>
  <c r="I20" i="5"/>
  <c r="G20" i="5"/>
  <c r="J19" i="4"/>
  <c r="E19" i="4"/>
  <c r="E19" i="3"/>
  <c r="I19" i="2"/>
  <c r="D19" i="2"/>
  <c r="M19" i="2"/>
  <c r="J19" i="2"/>
  <c r="H19" i="2"/>
  <c r="H20" i="5" s="1"/>
  <c r="G19" i="2"/>
  <c r="F19" i="2"/>
  <c r="E19" i="2"/>
  <c r="C19" i="2"/>
  <c r="O20" i="5"/>
  <c r="N20" i="5"/>
  <c r="M19" i="1"/>
  <c r="J19" i="1"/>
  <c r="F19" i="1"/>
  <c r="E19" i="1"/>
  <c r="C20" i="5"/>
  <c r="F20" i="5" l="1"/>
  <c r="D20" i="5"/>
  <c r="J20" i="5"/>
  <c r="M20" i="5"/>
  <c r="E20" i="5"/>
  <c r="L18" i="2"/>
  <c r="O18" i="1" l="1"/>
  <c r="L18" i="1"/>
  <c r="H18" i="2"/>
  <c r="N18" i="1" l="1"/>
  <c r="O18" i="2"/>
  <c r="N18" i="2"/>
  <c r="O18" i="3"/>
  <c r="N18" i="3"/>
  <c r="O18" i="4"/>
  <c r="N18" i="4"/>
  <c r="I18" i="2" l="1"/>
  <c r="D18" i="2"/>
  <c r="M18" i="3"/>
  <c r="L18" i="3"/>
  <c r="I18" i="3"/>
  <c r="H18" i="3"/>
  <c r="F18" i="3"/>
  <c r="D18" i="3"/>
  <c r="M18" i="4"/>
  <c r="L18" i="4"/>
  <c r="I18" i="4"/>
  <c r="H18" i="4"/>
  <c r="G18" i="4"/>
  <c r="F18" i="4"/>
  <c r="D18" i="4"/>
  <c r="K19" i="5" l="1"/>
  <c r="B19" i="5"/>
  <c r="J18" i="4"/>
  <c r="E18" i="4"/>
  <c r="C18" i="4"/>
  <c r="J18" i="3"/>
  <c r="G18" i="3"/>
  <c r="G19" i="5" s="1"/>
  <c r="E18" i="3"/>
  <c r="C18" i="3"/>
  <c r="C18" i="2"/>
  <c r="M18" i="2"/>
  <c r="J18" i="2"/>
  <c r="G18" i="2"/>
  <c r="F18" i="2"/>
  <c r="F19" i="5" s="1"/>
  <c r="E18" i="2"/>
  <c r="L19" i="5"/>
  <c r="J18" i="1"/>
  <c r="I18" i="1"/>
  <c r="I19" i="5" s="1"/>
  <c r="H18" i="1"/>
  <c r="H19" i="5" s="1"/>
  <c r="G18" i="1"/>
  <c r="E18" i="1"/>
  <c r="D18" i="1"/>
  <c r="D19" i="5" s="1"/>
  <c r="A17" i="1"/>
  <c r="M18" i="1"/>
  <c r="F18" i="1"/>
  <c r="C18" i="1"/>
  <c r="M19" i="5" l="1"/>
  <c r="N19" i="5"/>
  <c r="E19" i="5"/>
  <c r="J19" i="5"/>
  <c r="O19" i="5"/>
  <c r="C19" i="5"/>
  <c r="O17" i="1"/>
  <c r="N17" i="1"/>
  <c r="O17" i="2"/>
  <c r="N17" i="2"/>
  <c r="O17" i="3"/>
  <c r="N17" i="3"/>
  <c r="O17" i="4"/>
  <c r="N17" i="4"/>
  <c r="L17" i="4" l="1"/>
  <c r="L17" i="3"/>
  <c r="I17" i="3"/>
  <c r="D17" i="3"/>
  <c r="L17" i="2"/>
  <c r="C17" i="2"/>
  <c r="L17" i="1"/>
  <c r="J17" i="1"/>
  <c r="I17" i="1"/>
  <c r="H17" i="1"/>
  <c r="G17" i="1"/>
  <c r="E17" i="1"/>
  <c r="D17" i="1"/>
  <c r="A17" i="2" l="1"/>
  <c r="A17" i="3"/>
  <c r="A17" i="4"/>
  <c r="K18" i="5"/>
  <c r="B18" i="5"/>
  <c r="L18" i="5"/>
  <c r="I17" i="4"/>
  <c r="I18" i="5" s="1"/>
  <c r="E17" i="4"/>
  <c r="D17" i="4"/>
  <c r="D18" i="5" s="1"/>
  <c r="C17" i="4"/>
  <c r="M17" i="4"/>
  <c r="J17" i="4"/>
  <c r="J18" i="5" s="1"/>
  <c r="H17" i="4"/>
  <c r="G17" i="4"/>
  <c r="F17" i="4"/>
  <c r="C17" i="3"/>
  <c r="M17" i="3"/>
  <c r="J17" i="3"/>
  <c r="H17" i="3"/>
  <c r="H18" i="5" s="1"/>
  <c r="G17" i="3"/>
  <c r="G18" i="5" s="1"/>
  <c r="F17" i="3"/>
  <c r="E17" i="3"/>
  <c r="I17" i="2"/>
  <c r="G17" i="2"/>
  <c r="D17" i="2"/>
  <c r="M17" i="2"/>
  <c r="J17" i="2"/>
  <c r="H17" i="2"/>
  <c r="F17" i="2"/>
  <c r="E17" i="2"/>
  <c r="C17" i="1"/>
  <c r="M17" i="1"/>
  <c r="F17" i="1"/>
  <c r="F18" i="5" l="1"/>
  <c r="N18" i="5"/>
  <c r="E18" i="5"/>
  <c r="O18" i="5"/>
  <c r="M18" i="5"/>
  <c r="C18" i="5"/>
  <c r="O16" i="1"/>
  <c r="N16" i="1"/>
  <c r="L16" i="1"/>
  <c r="I16" i="1"/>
  <c r="H16" i="1"/>
  <c r="G16" i="1"/>
  <c r="E16" i="1"/>
  <c r="D16" i="1"/>
  <c r="C16" i="1"/>
  <c r="O16" i="2"/>
  <c r="N16" i="2"/>
  <c r="I16" i="2"/>
  <c r="G16" i="2"/>
  <c r="D16" i="2"/>
  <c r="O16" i="3"/>
  <c r="N16" i="3"/>
  <c r="L16" i="3"/>
  <c r="C16" i="3"/>
  <c r="O16" i="4"/>
  <c r="N16" i="4"/>
  <c r="L16" i="4"/>
  <c r="I16" i="4"/>
  <c r="E16" i="4"/>
  <c r="D16" i="4"/>
  <c r="C16" i="4"/>
  <c r="F16" i="1" l="1"/>
  <c r="M16" i="1"/>
  <c r="L17" i="5"/>
  <c r="J16" i="1"/>
  <c r="A16" i="1"/>
  <c r="L16" i="2"/>
  <c r="F16" i="2"/>
  <c r="E16" i="2"/>
  <c r="M16" i="2"/>
  <c r="J16" i="2"/>
  <c r="H16" i="2"/>
  <c r="C16" i="2"/>
  <c r="A16" i="2"/>
  <c r="J16" i="3"/>
  <c r="I16" i="3"/>
  <c r="E16" i="3"/>
  <c r="D16" i="3"/>
  <c r="M16" i="3"/>
  <c r="H16" i="3"/>
  <c r="G16" i="3"/>
  <c r="F16" i="3"/>
  <c r="A16" i="3"/>
  <c r="M16" i="4"/>
  <c r="J16" i="4"/>
  <c r="H16" i="4"/>
  <c r="G16" i="4"/>
  <c r="F16" i="4"/>
  <c r="A16" i="4"/>
  <c r="K17" i="5"/>
  <c r="B17" i="5"/>
  <c r="G17" i="5" l="1"/>
  <c r="H17" i="5"/>
  <c r="I17" i="5"/>
  <c r="F17" i="5"/>
  <c r="C17" i="5"/>
  <c r="N17" i="5"/>
  <c r="O17" i="5"/>
  <c r="J17" i="5"/>
  <c r="M17" i="5"/>
  <c r="D17" i="5"/>
  <c r="E17" i="5"/>
  <c r="O15" i="1"/>
  <c r="N15" i="1"/>
  <c r="F15" i="1"/>
  <c r="E15" i="1"/>
  <c r="O15" i="2"/>
  <c r="L15" i="2"/>
  <c r="I15" i="2"/>
  <c r="F15" i="2"/>
  <c r="E15" i="2"/>
  <c r="D15" i="2"/>
  <c r="O15" i="3"/>
  <c r="N15" i="3"/>
  <c r="J15" i="3"/>
  <c r="I15" i="3"/>
  <c r="E15" i="3"/>
  <c r="D15" i="3"/>
  <c r="C15" i="3"/>
  <c r="O15" i="4"/>
  <c r="N15" i="4"/>
  <c r="L15" i="4"/>
  <c r="C15" i="4"/>
  <c r="A15" i="1" l="1"/>
  <c r="A15" i="2"/>
  <c r="A15" i="3"/>
  <c r="A15" i="4"/>
  <c r="K16" i="5"/>
  <c r="B16" i="5"/>
  <c r="G15" i="4"/>
  <c r="E15" i="4"/>
  <c r="M15" i="4"/>
  <c r="J15" i="4"/>
  <c r="I15" i="4"/>
  <c r="H15" i="4"/>
  <c r="F15" i="4"/>
  <c r="D15" i="4"/>
  <c r="M15" i="3"/>
  <c r="L15" i="3"/>
  <c r="F15" i="3"/>
  <c r="H15" i="3"/>
  <c r="G15" i="3"/>
  <c r="N15" i="2"/>
  <c r="I16" i="5"/>
  <c r="C15" i="2"/>
  <c r="M15" i="2"/>
  <c r="J15" i="2"/>
  <c r="H15" i="2"/>
  <c r="G15" i="2"/>
  <c r="E16" i="5"/>
  <c r="O16" i="5"/>
  <c r="M15" i="1"/>
  <c r="L15" i="1"/>
  <c r="I15" i="1"/>
  <c r="H15" i="1"/>
  <c r="G15" i="1"/>
  <c r="D15" i="1"/>
  <c r="C15" i="1"/>
  <c r="C16" i="5" s="1"/>
  <c r="J15" i="1"/>
  <c r="J16" i="5" l="1"/>
  <c r="N16" i="5"/>
  <c r="G16" i="5"/>
  <c r="H16" i="5"/>
  <c r="L16" i="5"/>
  <c r="F16" i="5"/>
  <c r="D16" i="5"/>
  <c r="M16" i="5"/>
  <c r="M14" i="1"/>
  <c r="L14" i="1"/>
  <c r="G14" i="1"/>
  <c r="O14" i="1" l="1"/>
  <c r="N14" i="1"/>
  <c r="I14" i="1"/>
  <c r="H14" i="1"/>
  <c r="F14" i="1"/>
  <c r="E14" i="1"/>
  <c r="D14" i="1"/>
  <c r="C14" i="1"/>
  <c r="O14" i="2"/>
  <c r="N14" i="2"/>
  <c r="L14" i="2"/>
  <c r="I14" i="2"/>
  <c r="D14" i="2"/>
  <c r="C14" i="2"/>
  <c r="O14" i="3"/>
  <c r="N14" i="3"/>
  <c r="M14" i="3"/>
  <c r="L14" i="3"/>
  <c r="I14" i="3"/>
  <c r="F14" i="3"/>
  <c r="D14" i="3"/>
  <c r="C14" i="3"/>
  <c r="O14" i="4"/>
  <c r="L14" i="4"/>
  <c r="G14" i="4"/>
  <c r="E14" i="4"/>
  <c r="C14" i="4"/>
  <c r="F14" i="2" l="1"/>
  <c r="J14" i="2"/>
  <c r="G14" i="3"/>
  <c r="E14" i="3"/>
  <c r="N14" i="4"/>
  <c r="I14" i="4"/>
  <c r="D14" i="4"/>
  <c r="A14" i="1"/>
  <c r="A14" i="2"/>
  <c r="A14" i="3"/>
  <c r="A14" i="4"/>
  <c r="K15" i="5"/>
  <c r="B15" i="5"/>
  <c r="J14" i="1"/>
  <c r="M14" i="2"/>
  <c r="H14" i="2"/>
  <c r="G14" i="2"/>
  <c r="E14" i="2"/>
  <c r="J14" i="3"/>
  <c r="H14" i="3"/>
  <c r="M14" i="4"/>
  <c r="J14" i="4"/>
  <c r="H14" i="4"/>
  <c r="F14" i="4"/>
  <c r="H15" i="5" l="1"/>
  <c r="O15" i="5"/>
  <c r="F15" i="5"/>
  <c r="J15" i="5"/>
  <c r="N15" i="5"/>
  <c r="G15" i="5"/>
  <c r="E15" i="5"/>
  <c r="D15" i="5"/>
  <c r="I15" i="5"/>
  <c r="C15" i="5"/>
  <c r="M15" i="5"/>
  <c r="L15" i="5"/>
  <c r="L13" i="2"/>
  <c r="J13" i="2"/>
  <c r="G13" i="3" l="1"/>
  <c r="O13" i="1"/>
  <c r="N13" i="1"/>
  <c r="L13" i="1"/>
  <c r="I13" i="1"/>
  <c r="H13" i="1"/>
  <c r="G13" i="1"/>
  <c r="D13" i="1"/>
  <c r="C13" i="1"/>
  <c r="O13" i="2"/>
  <c r="N13" i="2"/>
  <c r="F13" i="2"/>
  <c r="C13" i="2"/>
  <c r="O13" i="3"/>
  <c r="N13" i="3"/>
  <c r="L13" i="3"/>
  <c r="I13" i="3"/>
  <c r="E13" i="3"/>
  <c r="D13" i="3"/>
  <c r="C13" i="3"/>
  <c r="O13" i="4"/>
  <c r="N13" i="4"/>
  <c r="L13" i="4"/>
  <c r="I13" i="4"/>
  <c r="D13" i="4"/>
  <c r="A13" i="1" l="1"/>
  <c r="A13" i="2"/>
  <c r="A13" i="3"/>
  <c r="A13" i="4"/>
  <c r="K14" i="5"/>
  <c r="B14" i="5"/>
  <c r="N14" i="5"/>
  <c r="L14" i="5"/>
  <c r="E13" i="1"/>
  <c r="G13" i="2"/>
  <c r="O14" i="5"/>
  <c r="J13" i="3"/>
  <c r="F13" i="3"/>
  <c r="C14" i="5"/>
  <c r="C13" i="4"/>
  <c r="M13" i="1"/>
  <c r="J13" i="1"/>
  <c r="F13" i="1"/>
  <c r="M13" i="2"/>
  <c r="I13" i="2"/>
  <c r="H13" i="2"/>
  <c r="E13" i="2"/>
  <c r="E14" i="5" s="1"/>
  <c r="D13" i="2"/>
  <c r="D14" i="5" s="1"/>
  <c r="M13" i="3"/>
  <c r="H13" i="3"/>
  <c r="M13" i="4"/>
  <c r="J13" i="4"/>
  <c r="H13" i="4"/>
  <c r="G13" i="4"/>
  <c r="F13" i="4"/>
  <c r="E13" i="4"/>
  <c r="I14" i="5" l="1"/>
  <c r="J14" i="5"/>
  <c r="F14" i="5"/>
  <c r="M14" i="5"/>
  <c r="G14" i="5"/>
  <c r="H14" i="5"/>
  <c r="L12" i="1"/>
  <c r="E12" i="1"/>
  <c r="O12" i="1" l="1"/>
  <c r="N12" i="1"/>
  <c r="I12" i="1"/>
  <c r="H12" i="1"/>
  <c r="D12" i="1"/>
  <c r="C12" i="1"/>
  <c r="O12" i="2"/>
  <c r="N12" i="2"/>
  <c r="L12" i="2"/>
  <c r="G12" i="2"/>
  <c r="C12" i="2"/>
  <c r="O12" i="3"/>
  <c r="N12" i="3"/>
  <c r="L12" i="3"/>
  <c r="J12" i="3"/>
  <c r="I12" i="3"/>
  <c r="G12" i="3"/>
  <c r="F12" i="3"/>
  <c r="D12" i="3"/>
  <c r="C12" i="3"/>
  <c r="O12" i="4"/>
  <c r="N12" i="4"/>
  <c r="L12" i="4"/>
  <c r="C12" i="4"/>
  <c r="A12" i="1" l="1"/>
  <c r="A12" i="2"/>
  <c r="A12" i="3"/>
  <c r="A12" i="4"/>
  <c r="K13" i="5"/>
  <c r="B13" i="5"/>
  <c r="D12" i="4"/>
  <c r="E12" i="4"/>
  <c r="I12" i="4"/>
  <c r="J12" i="4"/>
  <c r="O13" i="5"/>
  <c r="F12" i="2"/>
  <c r="E12" i="2"/>
  <c r="C13" i="5"/>
  <c r="N13" i="5"/>
  <c r="L13" i="5"/>
  <c r="M12" i="1"/>
  <c r="J12" i="1"/>
  <c r="G12" i="1"/>
  <c r="F12" i="1"/>
  <c r="M12" i="2"/>
  <c r="J12" i="2"/>
  <c r="I12" i="2"/>
  <c r="I13" i="5" s="1"/>
  <c r="H12" i="2"/>
  <c r="D12" i="2"/>
  <c r="M12" i="3"/>
  <c r="H12" i="3"/>
  <c r="E12" i="3"/>
  <c r="M12" i="4"/>
  <c r="H12" i="4"/>
  <c r="G12" i="4"/>
  <c r="F12" i="4"/>
  <c r="F13" i="5" s="1"/>
  <c r="G13" i="5" l="1"/>
  <c r="J13" i="5"/>
  <c r="D13" i="5"/>
  <c r="H13" i="5"/>
  <c r="E13" i="5"/>
  <c r="M13" i="5"/>
  <c r="O11" i="1"/>
  <c r="N11" i="1"/>
  <c r="L11" i="1"/>
  <c r="I11" i="1"/>
  <c r="H11" i="1"/>
  <c r="D11" i="1"/>
  <c r="C11" i="1"/>
  <c r="O11" i="2"/>
  <c r="N11" i="2"/>
  <c r="L11" i="2"/>
  <c r="G11" i="2"/>
  <c r="F11" i="2"/>
  <c r="E11" i="2"/>
  <c r="C11" i="2"/>
  <c r="O11" i="3"/>
  <c r="N11" i="3"/>
  <c r="L11" i="3"/>
  <c r="I11" i="3"/>
  <c r="D11" i="3"/>
  <c r="C11" i="3"/>
  <c r="O11" i="4"/>
  <c r="N11" i="4"/>
  <c r="J11" i="4"/>
  <c r="I11" i="4"/>
  <c r="E11" i="4"/>
  <c r="D11" i="4"/>
  <c r="C11" i="4"/>
  <c r="A11" i="1"/>
  <c r="A11" i="2"/>
  <c r="A11" i="3"/>
  <c r="A11" i="4"/>
  <c r="K12" i="5" l="1"/>
  <c r="B12" i="5"/>
  <c r="L11" i="4"/>
  <c r="G11" i="3"/>
  <c r="F11" i="1"/>
  <c r="M11" i="1"/>
  <c r="J11" i="1"/>
  <c r="G11" i="1"/>
  <c r="E11" i="1"/>
  <c r="M11" i="2"/>
  <c r="J11" i="2"/>
  <c r="I11" i="2"/>
  <c r="H11" i="2"/>
  <c r="D11" i="2"/>
  <c r="M11" i="3"/>
  <c r="J11" i="3"/>
  <c r="H11" i="3"/>
  <c r="F11" i="3"/>
  <c r="E11" i="3"/>
  <c r="M11" i="4"/>
  <c r="H11" i="4"/>
  <c r="G11" i="4"/>
  <c r="F11" i="4"/>
  <c r="G12" i="5" l="1"/>
  <c r="F12" i="5"/>
  <c r="I12" i="5"/>
  <c r="J12" i="5"/>
  <c r="C12" i="5"/>
  <c r="H12" i="5"/>
  <c r="O12" i="5"/>
  <c r="D12" i="5"/>
  <c r="M12" i="5"/>
  <c r="E12" i="5"/>
  <c r="N12" i="5"/>
  <c r="L12" i="5"/>
  <c r="O10" i="1"/>
  <c r="N10" i="1"/>
  <c r="L10" i="1"/>
  <c r="F10" i="1"/>
  <c r="C10" i="1"/>
  <c r="O10" i="2"/>
  <c r="N10" i="2"/>
  <c r="C10" i="2"/>
  <c r="O10" i="3"/>
  <c r="N10" i="3"/>
  <c r="I10" i="3"/>
  <c r="G10" i="3"/>
  <c r="D10" i="3"/>
  <c r="C10" i="3"/>
  <c r="O10" i="4"/>
  <c r="N10" i="4"/>
  <c r="L10" i="4"/>
  <c r="E10" i="4"/>
  <c r="C10" i="4"/>
  <c r="A10" i="1" l="1"/>
  <c r="A10" i="2"/>
  <c r="A10" i="3"/>
  <c r="A10" i="4"/>
  <c r="E10" i="2"/>
  <c r="K11" i="5"/>
  <c r="B11" i="5"/>
  <c r="F10" i="3"/>
  <c r="L10" i="2"/>
  <c r="J10" i="2"/>
  <c r="O11" i="5"/>
  <c r="N11" i="5"/>
  <c r="M10" i="1"/>
  <c r="J10" i="1"/>
  <c r="I10" i="1"/>
  <c r="H10" i="1"/>
  <c r="G10" i="1"/>
  <c r="E10" i="1"/>
  <c r="D10" i="1"/>
  <c r="C11" i="5"/>
  <c r="M10" i="2"/>
  <c r="I10" i="2"/>
  <c r="H10" i="2"/>
  <c r="G10" i="2"/>
  <c r="F10" i="2"/>
  <c r="D10" i="2"/>
  <c r="M10" i="3"/>
  <c r="L10" i="3"/>
  <c r="J10" i="3"/>
  <c r="H10" i="3"/>
  <c r="E10" i="3"/>
  <c r="M10" i="4"/>
  <c r="J10" i="4"/>
  <c r="I10" i="4"/>
  <c r="H10" i="4"/>
  <c r="G10" i="4"/>
  <c r="F10" i="4"/>
  <c r="D10" i="4"/>
  <c r="H11" i="5" l="1"/>
  <c r="M11" i="5"/>
  <c r="E11" i="5"/>
  <c r="G11" i="5"/>
  <c r="L11" i="5"/>
  <c r="I11" i="5"/>
  <c r="D11" i="5"/>
  <c r="J11" i="5"/>
  <c r="F11" i="5"/>
  <c r="O9" i="1"/>
  <c r="N9" i="1"/>
  <c r="O9" i="2"/>
  <c r="N9" i="2"/>
  <c r="L9" i="2"/>
  <c r="J9" i="2"/>
  <c r="E9" i="2"/>
  <c r="O9" i="3"/>
  <c r="N9" i="3"/>
  <c r="F9" i="3"/>
  <c r="O9" i="4"/>
  <c r="N9" i="4"/>
  <c r="L9" i="4"/>
  <c r="E9" i="4"/>
  <c r="C9" i="4"/>
  <c r="M9" i="4" l="1"/>
  <c r="J9" i="4"/>
  <c r="I9" i="4"/>
  <c r="H9" i="4"/>
  <c r="G9" i="4"/>
  <c r="F9" i="4"/>
  <c r="D9" i="4"/>
  <c r="A9" i="4"/>
  <c r="M9" i="3"/>
  <c r="L9" i="3"/>
  <c r="J9" i="3"/>
  <c r="I9" i="3"/>
  <c r="H9" i="3"/>
  <c r="G9" i="3"/>
  <c r="E9" i="3"/>
  <c r="D9" i="3"/>
  <c r="C9" i="3"/>
  <c r="A9" i="3"/>
  <c r="M9" i="2"/>
  <c r="I9" i="2"/>
  <c r="H9" i="2"/>
  <c r="G9" i="2"/>
  <c r="F9" i="2"/>
  <c r="D9" i="2"/>
  <c r="C9" i="2"/>
  <c r="A9" i="2"/>
  <c r="A9" i="1"/>
  <c r="M9" i="1"/>
  <c r="L9" i="1"/>
  <c r="I9" i="1"/>
  <c r="H9" i="1"/>
  <c r="G9" i="1"/>
  <c r="E9" i="1"/>
  <c r="D9" i="1"/>
  <c r="C9" i="1"/>
  <c r="K22" i="1" l="1"/>
  <c r="K22" i="2"/>
  <c r="K22" i="4"/>
  <c r="K22" i="3"/>
  <c r="B22" i="1" l="1"/>
  <c r="O22" i="1" l="1"/>
  <c r="N22" i="1"/>
  <c r="M22" i="1"/>
  <c r="L22" i="1"/>
  <c r="I22" i="1"/>
  <c r="H22" i="1"/>
  <c r="G22" i="1"/>
  <c r="E22" i="1"/>
  <c r="D22" i="1"/>
  <c r="C22" i="1"/>
  <c r="O22" i="2"/>
  <c r="N22" i="2"/>
  <c r="M22" i="2"/>
  <c r="L22" i="2"/>
  <c r="I22" i="2"/>
  <c r="F22" i="2"/>
  <c r="D22" i="2"/>
  <c r="O22" i="3"/>
  <c r="N22" i="3"/>
  <c r="E22" i="3"/>
  <c r="O22" i="4"/>
  <c r="N22" i="4"/>
  <c r="L22" i="4" l="1"/>
  <c r="E22" i="4"/>
  <c r="C22" i="4"/>
  <c r="J9" i="1" l="1"/>
  <c r="J22" i="1" s="1"/>
  <c r="F9" i="1"/>
  <c r="F22" i="1" s="1"/>
  <c r="J22" i="2"/>
  <c r="H22" i="2"/>
  <c r="G22" i="2"/>
  <c r="E22" i="2"/>
  <c r="C22" i="2"/>
  <c r="M22" i="3"/>
  <c r="L22" i="3"/>
  <c r="J22" i="3"/>
  <c r="I22" i="3"/>
  <c r="H22" i="3"/>
  <c r="G22" i="3"/>
  <c r="F22" i="3"/>
  <c r="D22" i="3"/>
  <c r="C22" i="3"/>
  <c r="B22" i="4" l="1"/>
  <c r="M22" i="4"/>
  <c r="J22" i="4"/>
  <c r="I22" i="4"/>
  <c r="H22" i="4"/>
  <c r="G22" i="4"/>
  <c r="F22" i="4"/>
  <c r="D22" i="4"/>
  <c r="B22" i="3"/>
  <c r="B22" i="2"/>
  <c r="B10" i="5" l="1"/>
  <c r="K10" i="5"/>
  <c r="K23" i="5" s="1"/>
  <c r="O10" i="5" l="1"/>
  <c r="O23" i="5" s="1"/>
  <c r="N10" i="5"/>
  <c r="N23" i="5" s="1"/>
  <c r="L10" i="5"/>
  <c r="L23" i="5" s="1"/>
  <c r="C10" i="5"/>
  <c r="C23" i="5" s="1"/>
  <c r="G10" i="5" l="1"/>
  <c r="G23" i="5" s="1"/>
  <c r="E10" i="5"/>
  <c r="E23" i="5" s="1"/>
  <c r="D10" i="5"/>
  <c r="D23" i="5" s="1"/>
  <c r="J10" i="5"/>
  <c r="J23" i="5" s="1"/>
  <c r="F10" i="5"/>
  <c r="F23" i="5" s="1"/>
  <c r="M10" i="5"/>
  <c r="M23" i="5" s="1"/>
  <c r="H10" i="5"/>
  <c r="H23" i="5" s="1"/>
  <c r="I10" i="5"/>
  <c r="I23" i="5" s="1"/>
  <c r="B23" i="5" l="1"/>
</calcChain>
</file>

<file path=xl/sharedStrings.xml><?xml version="1.0" encoding="utf-8"?>
<sst xmlns="http://schemas.openxmlformats.org/spreadsheetml/2006/main" count="120" uniqueCount="41">
  <si>
    <t>HOLLYWOOD CASINO AT CHARLES TOWN RACES TABLE GAMES</t>
  </si>
  <si>
    <t>Total Adjusted
Gross Receipts</t>
  </si>
  <si>
    <t>Privilege Tax</t>
  </si>
  <si>
    <t>Administrative</t>
  </si>
  <si>
    <t>Excess Lottery
Fund</t>
  </si>
  <si>
    <t>Thoroughbred Development Fund</t>
  </si>
  <si>
    <t>Racetrack County</t>
  </si>
  <si>
    <t>Racetrack Municipality</t>
  </si>
  <si>
    <t>Racetracks Within Municipalities</t>
  </si>
  <si>
    <t>Interest **</t>
  </si>
  <si>
    <t>Excess Lottery Fund</t>
  </si>
  <si>
    <t>Pension Fund</t>
  </si>
  <si>
    <t>Non-Racetrack Counties *</t>
  </si>
  <si>
    <t>Non-Racetrack Municipalities *</t>
  </si>
  <si>
    <t>*  To get an even distribution amount there will be cents carried forward each month.</t>
  </si>
  <si>
    <t>**  Interest is only used in the calculation of Excess Lottery Fund, Pension Fund, and Non-Racetrack Counties and Municipalities.</t>
  </si>
  <si>
    <t>MARDI GRAS CASINO TABLE GAMES</t>
  </si>
  <si>
    <t>WHEELING ISLAND CASINO TABLE GAMES</t>
  </si>
  <si>
    <t>MOUNTAINEER CASINO TABLE GAMES</t>
  </si>
  <si>
    <t>Thoroughbred Purse Fund</t>
  </si>
  <si>
    <t>Thoroughbred / Greyhound Purse Fund</t>
  </si>
  <si>
    <t>Thoroughbred / Greyhound Development Fund</t>
  </si>
  <si>
    <t>WEST VIRGINIA LOTTERY</t>
  </si>
  <si>
    <t>TABLE GAMES DISTRIBUTION SUMMARY</t>
  </si>
  <si>
    <t>FY 2023</t>
  </si>
  <si>
    <t>FISCAL YEAR 2024</t>
  </si>
  <si>
    <t>July 2023</t>
  </si>
  <si>
    <t>August 2023</t>
  </si>
  <si>
    <t>September 2023</t>
  </si>
  <si>
    <t>October 2023</t>
  </si>
  <si>
    <t>November 2023</t>
  </si>
  <si>
    <t>December 2023</t>
  </si>
  <si>
    <t>January 2024</t>
  </si>
  <si>
    <t>February 2024</t>
  </si>
  <si>
    <t>Non-Racetrack Counties ( 51) *</t>
  </si>
  <si>
    <t>March 2024</t>
  </si>
  <si>
    <t>Non-Racetrack Municipalities (202/200) *</t>
  </si>
  <si>
    <t>April 2024</t>
  </si>
  <si>
    <t>May 2024</t>
  </si>
  <si>
    <t>FOR THE MONTH ENDING JUNE 30, 2024</t>
  </si>
  <si>
    <t>June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</si>
</sst>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8" fillId="0" borderId="0" applyFont="0" applyFill="0" applyBorder="0" applyAlignment="0" applyProtection="0"/>
  </cellStyleXfs>
  <cellXfs count="38">
    <xf numFmtId="0" fontId="0" fillId="0" borderId="0" xfId="0"/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/>
    </xf>
    <xf numFmtId="0" fontId="20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center"/>
    </xf>
    <xf numFmtId="44" fontId="20" fillId="0" borderId="0" xfId="1" applyFont="1"/>
    <xf numFmtId="44" fontId="20" fillId="0" borderId="2" xfId="0" applyNumberFormat="1" applyFont="1" applyBorder="1"/>
    <xf numFmtId="0" fontId="22" fillId="0" borderId="0" xfId="0" applyFont="1"/>
    <xf numFmtId="44" fontId="20" fillId="0" borderId="0" xfId="1" applyNumberFormat="1" applyFont="1"/>
    <xf numFmtId="0" fontId="20" fillId="0" borderId="0" xfId="0" applyFont="1" applyFill="1"/>
    <xf numFmtId="0" fontId="17" fillId="0" borderId="0" xfId="0" applyFont="1" applyFill="1"/>
    <xf numFmtId="0" fontId="16" fillId="0" borderId="0" xfId="0" applyFont="1"/>
    <xf numFmtId="0" fontId="15" fillId="0" borderId="0" xfId="0" applyFont="1"/>
    <xf numFmtId="0" fontId="15" fillId="0" borderId="0" xfId="0" quotePrefix="1" applyFont="1"/>
    <xf numFmtId="0" fontId="14" fillId="0" borderId="0" xfId="0" applyFont="1"/>
    <xf numFmtId="0" fontId="14" fillId="0" borderId="0" xfId="0" quotePrefix="1" applyFont="1"/>
    <xf numFmtId="0" fontId="13" fillId="0" borderId="0" xfId="0" quotePrefix="1" applyFont="1"/>
    <xf numFmtId="0" fontId="12" fillId="0" borderId="0" xfId="0" quotePrefix="1" applyFont="1"/>
    <xf numFmtId="0" fontId="11" fillId="0" borderId="0" xfId="0" quotePrefix="1" applyFont="1"/>
    <xf numFmtId="0" fontId="10" fillId="0" borderId="0" xfId="0" quotePrefix="1" applyFont="1"/>
    <xf numFmtId="0" fontId="9" fillId="0" borderId="0" xfId="0" quotePrefix="1" applyFont="1"/>
    <xf numFmtId="17" fontId="8" fillId="0" borderId="0" xfId="0" quotePrefix="1" applyNumberFormat="1" applyFont="1"/>
    <xf numFmtId="17" fontId="15" fillId="0" borderId="0" xfId="0" quotePrefix="1" applyNumberFormat="1" applyFont="1"/>
    <xf numFmtId="17" fontId="7" fillId="0" borderId="0" xfId="0" quotePrefix="1" applyNumberFormat="1" applyFont="1"/>
    <xf numFmtId="0" fontId="6" fillId="0" borderId="1" xfId="0" applyFont="1" applyBorder="1" applyAlignment="1">
      <alignment horizontal="center" wrapText="1"/>
    </xf>
    <xf numFmtId="17" fontId="5" fillId="0" borderId="0" xfId="0" quotePrefix="1" applyNumberFormat="1" applyFont="1"/>
    <xf numFmtId="0" fontId="4" fillId="0" borderId="1" xfId="0" applyFont="1" applyBorder="1" applyAlignment="1">
      <alignment horizontal="center" wrapText="1"/>
    </xf>
    <xf numFmtId="17" fontId="3" fillId="0" borderId="0" xfId="0" quotePrefix="1" applyNumberFormat="1" applyFont="1"/>
    <xf numFmtId="17" fontId="2" fillId="0" borderId="0" xfId="0" quotePrefix="1" applyNumberFormat="1" applyFont="1"/>
    <xf numFmtId="44" fontId="20" fillId="0" borderId="0" xfId="1" applyFont="1" applyFill="1"/>
    <xf numFmtId="17" fontId="1" fillId="0" borderId="0" xfId="0" quotePrefix="1" applyNumberFormat="1" applyFont="1"/>
    <xf numFmtId="0" fontId="21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tabSelected="1" workbookViewId="0">
      <selection activeCell="P21" sqref="P21"/>
    </sheetView>
  </sheetViews>
  <sheetFormatPr defaultColWidth="9.140625" defaultRowHeight="15" customHeight="1" x14ac:dyDescent="0.25"/>
  <cols>
    <col min="1" max="1" width="15.7109375" style="1" customWidth="1"/>
    <col min="2" max="3" width="15.28515625" style="1" bestFit="1" customWidth="1"/>
    <col min="4" max="4" width="14.28515625" style="1" bestFit="1" customWidth="1"/>
    <col min="5" max="5" width="13.7109375" style="1" customWidth="1"/>
    <col min="6" max="6" width="14.28515625" style="1" bestFit="1" customWidth="1"/>
    <col min="7" max="7" width="15.140625" style="1" customWidth="1"/>
    <col min="8" max="9" width="14.28515625" style="1" bestFit="1" customWidth="1"/>
    <col min="10" max="10" width="13.7109375" style="1" bestFit="1" customWidth="1"/>
    <col min="11" max="11" width="13.85546875" style="1" customWidth="1"/>
    <col min="12" max="12" width="15.28515625" style="1" bestFit="1" customWidth="1"/>
    <col min="13" max="13" width="12.5703125" style="1" bestFit="1" customWidth="1"/>
    <col min="14" max="14" width="14.28515625" style="1" bestFit="1" customWidth="1"/>
    <col min="15" max="15" width="15.140625" style="1" customWidth="1"/>
    <col min="16" max="16384" width="9.140625" style="1"/>
  </cols>
  <sheetData>
    <row r="1" spans="1:15" ht="18.75" x14ac:dyDescent="0.3">
      <c r="A1" s="33" t="s">
        <v>22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5" customHeight="1" x14ac:dyDescent="0.25">
      <c r="A2" s="34" t="s">
        <v>23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5" customHeight="1" x14ac:dyDescent="0.25">
      <c r="A3" s="34" t="s">
        <v>39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5" customHeight="1" x14ac:dyDescent="0.25">
      <c r="A4" s="34" t="s">
        <v>25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8" spans="1:15" ht="60" customHeight="1" x14ac:dyDescent="0.25">
      <c r="B8" s="3" t="s">
        <v>1</v>
      </c>
      <c r="C8" s="4" t="s">
        <v>2</v>
      </c>
      <c r="D8" s="4" t="s">
        <v>3</v>
      </c>
      <c r="E8" s="3" t="s">
        <v>4</v>
      </c>
      <c r="F8" s="3" t="s">
        <v>20</v>
      </c>
      <c r="G8" s="3" t="s">
        <v>21</v>
      </c>
      <c r="H8" s="3" t="s">
        <v>6</v>
      </c>
      <c r="I8" s="3" t="s">
        <v>7</v>
      </c>
      <c r="J8" s="3" t="s">
        <v>8</v>
      </c>
      <c r="K8" s="3" t="s">
        <v>9</v>
      </c>
      <c r="L8" s="3" t="s">
        <v>10</v>
      </c>
      <c r="M8" s="3" t="s">
        <v>11</v>
      </c>
      <c r="N8" s="26" t="s">
        <v>34</v>
      </c>
      <c r="O8" s="28" t="s">
        <v>36</v>
      </c>
    </row>
    <row r="9" spans="1:15" x14ac:dyDescent="0.25">
      <c r="B9" s="5"/>
      <c r="C9" s="6"/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ht="15" customHeight="1" x14ac:dyDescent="0.25">
      <c r="A10" s="17" t="s">
        <v>26</v>
      </c>
      <c r="B10" s="7">
        <f>SUM('Mountaineer:Charles Town'!B9)</f>
        <v>8694758.7800000012</v>
      </c>
      <c r="C10" s="7">
        <f>SUM('Mountaineer:Charles Town'!C9)</f>
        <v>3043165.56</v>
      </c>
      <c r="D10" s="7">
        <f>SUM('Mountaineer:Charles Town'!D9)</f>
        <v>260842.76</v>
      </c>
      <c r="E10" s="7">
        <f>SUM('Mountaineer:Charles Town'!E9)</f>
        <v>39126.43</v>
      </c>
      <c r="F10" s="7">
        <f>SUM('Mountaineer:Charles Town'!F9)</f>
        <v>195632.06</v>
      </c>
      <c r="G10" s="7">
        <f>SUM('Mountaineer:Charles Town'!G9)</f>
        <v>156505.66</v>
      </c>
      <c r="H10" s="7">
        <f>SUM('Mountaineer:Charles Town'!H9)</f>
        <v>173895.19</v>
      </c>
      <c r="I10" s="7">
        <f>SUM('Mountaineer:Charles Town'!I9)</f>
        <v>260842.76</v>
      </c>
      <c r="J10" s="7">
        <f>SUM('Mountaineer:Charles Town'!J9)</f>
        <v>43473.78</v>
      </c>
      <c r="K10" s="7">
        <f>SUM('Mountaineer:Charles Town'!K9)</f>
        <v>28266.260000000002</v>
      </c>
      <c r="L10" s="7">
        <f>SUM('Mountaineer:Charles Town'!L9)</f>
        <v>1475245.99</v>
      </c>
      <c r="M10" s="7">
        <f>SUM('Mountaineer:Charles Town'!M9)</f>
        <v>77644.53</v>
      </c>
      <c r="N10" s="7">
        <f>SUM('Mountaineer:Charles Town'!N9)</f>
        <v>194111.1</v>
      </c>
      <c r="O10" s="7">
        <f>SUM('Mountaineer:Charles Town'!O9)</f>
        <v>194111.90000000002</v>
      </c>
    </row>
    <row r="11" spans="1:15" ht="15" customHeight="1" x14ac:dyDescent="0.25">
      <c r="A11" s="18" t="s">
        <v>27</v>
      </c>
      <c r="B11" s="7">
        <f>SUM('Mountaineer:Charles Town'!B10)</f>
        <v>7823893.71</v>
      </c>
      <c r="C11" s="7">
        <f>SUM('Mountaineer:Charles Town'!C10)</f>
        <v>2738362.86</v>
      </c>
      <c r="D11" s="7">
        <f>SUM('Mountaineer:Charles Town'!D10)</f>
        <v>234716.82</v>
      </c>
      <c r="E11" s="7">
        <f>SUM('Mountaineer:Charles Town'!E10)</f>
        <v>35207.54</v>
      </c>
      <c r="F11" s="7">
        <f>SUM('Mountaineer:Charles Town'!F10)</f>
        <v>176037.6</v>
      </c>
      <c r="G11" s="7">
        <f>SUM('Mountaineer:Charles Town'!G10)</f>
        <v>140830.08000000002</v>
      </c>
      <c r="H11" s="7">
        <f>SUM('Mountaineer:Charles Town'!H10)</f>
        <v>156477.88</v>
      </c>
      <c r="I11" s="7">
        <f>SUM('Mountaineer:Charles Town'!I10)</f>
        <v>234716.82</v>
      </c>
      <c r="J11" s="7">
        <f>SUM('Mountaineer:Charles Town'!J10)</f>
        <v>39119.46</v>
      </c>
      <c r="K11" s="7">
        <f>SUM('Mountaineer:Charles Town'!K10)</f>
        <v>26301.21</v>
      </c>
      <c r="L11" s="7">
        <f>SUM('Mountaineer:Charles Town'!L10)</f>
        <v>1328144</v>
      </c>
      <c r="M11" s="7">
        <f>SUM('Mountaineer:Charles Town'!M10)</f>
        <v>69902.31</v>
      </c>
      <c r="N11" s="7">
        <f>SUM('Mountaineer:Charles Town'!N10)</f>
        <v>174756.09</v>
      </c>
      <c r="O11" s="7">
        <f>SUM('Mountaineer:Charles Town'!O10)</f>
        <v>174756.26</v>
      </c>
    </row>
    <row r="12" spans="1:15" ht="15" customHeight="1" x14ac:dyDescent="0.25">
      <c r="A12" s="19" t="s">
        <v>28</v>
      </c>
      <c r="B12" s="7">
        <f>SUM('Mountaineer:Charles Town'!B11)</f>
        <v>7339774.04</v>
      </c>
      <c r="C12" s="7">
        <f>SUM('Mountaineer:Charles Town'!C11)</f>
        <v>2568920.88</v>
      </c>
      <c r="D12" s="7">
        <f>SUM('Mountaineer:Charles Town'!D11)</f>
        <v>220193.2</v>
      </c>
      <c r="E12" s="7">
        <f>SUM('Mountaineer:Charles Town'!E11)</f>
        <v>33029</v>
      </c>
      <c r="F12" s="7">
        <f>SUM('Mountaineer:Charles Town'!F11)</f>
        <v>165144.91</v>
      </c>
      <c r="G12" s="7">
        <f>SUM('Mountaineer:Charles Town'!G11)</f>
        <v>132115.93</v>
      </c>
      <c r="H12" s="7">
        <f>SUM('Mountaineer:Charles Town'!H11)</f>
        <v>146795.48000000001</v>
      </c>
      <c r="I12" s="7">
        <f>SUM('Mountaineer:Charles Town'!I11)</f>
        <v>220193.2</v>
      </c>
      <c r="J12" s="7">
        <f>SUM('Mountaineer:Charles Town'!J11)</f>
        <v>36698.86</v>
      </c>
      <c r="K12" s="7">
        <f>SUM('Mountaineer:Charles Town'!K11)</f>
        <v>26255.789999999997</v>
      </c>
      <c r="L12" s="7">
        <f>SUM('Mountaineer:Charles Town'!L11)</f>
        <v>1247164.6200000001</v>
      </c>
      <c r="M12" s="7">
        <f>SUM('Mountaineer:Charles Town'!M11)</f>
        <v>65640.25</v>
      </c>
      <c r="N12" s="7">
        <f>SUM('Mountaineer:Charles Town'!N11)</f>
        <v>164100.15</v>
      </c>
      <c r="O12" s="7">
        <f>SUM('Mountaineer:Charles Town'!O11)</f>
        <v>164100.76</v>
      </c>
    </row>
    <row r="13" spans="1:15" ht="15" customHeight="1" x14ac:dyDescent="0.25">
      <c r="A13" s="20" t="s">
        <v>29</v>
      </c>
      <c r="B13" s="7">
        <f>SUM('Mountaineer:Charles Town'!B12)</f>
        <v>7398413.6600000001</v>
      </c>
      <c r="C13" s="7">
        <f>SUM('Mountaineer:Charles Town'!C12)</f>
        <v>2589444.84</v>
      </c>
      <c r="D13" s="7">
        <f>SUM('Mountaineer:Charles Town'!D12)</f>
        <v>221952.38</v>
      </c>
      <c r="E13" s="7">
        <f>SUM('Mountaineer:Charles Town'!E12)</f>
        <v>33292.840000000004</v>
      </c>
      <c r="F13" s="7">
        <f>SUM('Mountaineer:Charles Town'!F12)</f>
        <v>166464.32000000001</v>
      </c>
      <c r="G13" s="7">
        <f>SUM('Mountaineer:Charles Town'!G12)</f>
        <v>133171.45000000001</v>
      </c>
      <c r="H13" s="7">
        <f>SUM('Mountaineer:Charles Town'!H12)</f>
        <v>147968.25999999998</v>
      </c>
      <c r="I13" s="7">
        <f>SUM('Mountaineer:Charles Town'!I12)</f>
        <v>221952.38</v>
      </c>
      <c r="J13" s="7">
        <f>SUM('Mountaineer:Charles Town'!J12)</f>
        <v>36992.080000000002</v>
      </c>
      <c r="K13" s="7">
        <f>SUM('Mountaineer:Charles Town'!K12)</f>
        <v>24714.749999999996</v>
      </c>
      <c r="L13" s="7">
        <f>SUM('Mountaineer:Charles Town'!L12)</f>
        <v>1255798.0699999998</v>
      </c>
      <c r="M13" s="7">
        <f>SUM('Mountaineer:Charles Town'!M12)</f>
        <v>66094.63</v>
      </c>
      <c r="N13" s="7">
        <f>SUM('Mountaineer:Charles Town'!N12)</f>
        <v>165236.94</v>
      </c>
      <c r="O13" s="7">
        <f>SUM('Mountaineer:Charles Town'!O12)</f>
        <v>165236</v>
      </c>
    </row>
    <row r="14" spans="1:15" ht="15" customHeight="1" x14ac:dyDescent="0.25">
      <c r="A14" s="21" t="s">
        <v>30</v>
      </c>
      <c r="B14" s="7">
        <f>SUM('Mountaineer:Charles Town'!B13)</f>
        <v>7309149.3200000003</v>
      </c>
      <c r="C14" s="7">
        <f>SUM('Mountaineer:Charles Town'!C13)</f>
        <v>2558202.2599999998</v>
      </c>
      <c r="D14" s="7">
        <f>SUM('Mountaineer:Charles Town'!D13)</f>
        <v>219274.5</v>
      </c>
      <c r="E14" s="7">
        <f>SUM('Mountaineer:Charles Town'!E13)</f>
        <v>32891.17</v>
      </c>
      <c r="F14" s="7">
        <f>SUM('Mountaineer:Charles Town'!F13)</f>
        <v>164455.85</v>
      </c>
      <c r="G14" s="7">
        <f>SUM('Mountaineer:Charles Town'!G13)</f>
        <v>131564.71</v>
      </c>
      <c r="H14" s="7">
        <f>SUM('Mountaineer:Charles Town'!H13)</f>
        <v>146183.02000000002</v>
      </c>
      <c r="I14" s="7">
        <f>SUM('Mountaineer:Charles Town'!I13)</f>
        <v>219274.5</v>
      </c>
      <c r="J14" s="7">
        <f>SUM('Mountaineer:Charles Town'!J13)</f>
        <v>36545.760000000002</v>
      </c>
      <c r="K14" s="7">
        <f>SUM('Mountaineer:Charles Town'!K13)</f>
        <v>24949.070000000003</v>
      </c>
      <c r="L14" s="7">
        <f>SUM('Mountaineer:Charles Town'!L13)</f>
        <v>1241050.9899999998</v>
      </c>
      <c r="M14" s="7">
        <f>SUM('Mountaineer:Charles Town'!M13)</f>
        <v>65318.47</v>
      </c>
      <c r="N14" s="7">
        <f>SUM('Mountaineer:Charles Town'!N13)</f>
        <v>163295.88</v>
      </c>
      <c r="O14" s="7">
        <f>SUM('Mountaineer:Charles Town'!O13)</f>
        <v>163296.79999999999</v>
      </c>
    </row>
    <row r="15" spans="1:15" ht="15" customHeight="1" x14ac:dyDescent="0.25">
      <c r="A15" s="22" t="s">
        <v>31</v>
      </c>
      <c r="B15" s="7">
        <f>SUM('Mountaineer:Charles Town'!B14)</f>
        <v>8096016.1500000004</v>
      </c>
      <c r="C15" s="7">
        <f>SUM('Mountaineer:Charles Town'!C14)</f>
        <v>2833605.7</v>
      </c>
      <c r="D15" s="7">
        <f>SUM('Mountaineer:Charles Town'!D14)</f>
        <v>242880.46000000002</v>
      </c>
      <c r="E15" s="7">
        <f>SUM('Mountaineer:Charles Town'!E14)</f>
        <v>36432.07</v>
      </c>
      <c r="F15" s="7">
        <f>SUM('Mountaineer:Charles Town'!F14)</f>
        <v>182160.35000000003</v>
      </c>
      <c r="G15" s="7">
        <f>SUM('Mountaineer:Charles Town'!G14)</f>
        <v>145728.28999999998</v>
      </c>
      <c r="H15" s="7">
        <f>SUM('Mountaineer:Charles Town'!H14)</f>
        <v>161920.32000000001</v>
      </c>
      <c r="I15" s="7">
        <f>SUM('Mountaineer:Charles Town'!I14)</f>
        <v>242880.46000000002</v>
      </c>
      <c r="J15" s="7">
        <f>SUM('Mountaineer:Charles Town'!J14)</f>
        <v>40480.080000000002</v>
      </c>
      <c r="K15" s="7">
        <f>SUM('Mountaineer:Charles Town'!K14)</f>
        <v>28544.73</v>
      </c>
      <c r="L15" s="7">
        <f>SUM('Mountaineer:Charles Town'!L14)</f>
        <v>1375347.98</v>
      </c>
      <c r="M15" s="7">
        <f>SUM('Mountaineer:Charles Town'!M14)</f>
        <v>72386.740000000005</v>
      </c>
      <c r="N15" s="7">
        <f>SUM('Mountaineer:Charles Town'!N14)</f>
        <v>180966.87</v>
      </c>
      <c r="O15" s="7">
        <f>SUM('Mountaineer:Charles Town'!O14)</f>
        <v>180965.74</v>
      </c>
    </row>
    <row r="16" spans="1:15" ht="15" customHeight="1" x14ac:dyDescent="0.25">
      <c r="A16" s="23" t="s">
        <v>32</v>
      </c>
      <c r="B16" s="7">
        <f>SUM('Mountaineer:Charles Town'!B15)</f>
        <v>6865986.6899999995</v>
      </c>
      <c r="C16" s="7">
        <f>SUM('Mountaineer:Charles Town'!C15)</f>
        <v>2403095.37</v>
      </c>
      <c r="D16" s="7">
        <f>SUM('Mountaineer:Charles Town'!D15)</f>
        <v>205979.62000000002</v>
      </c>
      <c r="E16" s="7">
        <f>SUM('Mountaineer:Charles Town'!E15)</f>
        <v>30896.95</v>
      </c>
      <c r="F16" s="7">
        <f>SUM('Mountaineer:Charles Town'!F15)</f>
        <v>154484.69</v>
      </c>
      <c r="G16" s="7">
        <f>SUM('Mountaineer:Charles Town'!G15)</f>
        <v>123587.76</v>
      </c>
      <c r="H16" s="7">
        <f>SUM('Mountaineer:Charles Town'!H15)</f>
        <v>137319.74</v>
      </c>
      <c r="I16" s="7">
        <f>SUM('Mountaineer:Charles Town'!I15)</f>
        <v>205979.62000000002</v>
      </c>
      <c r="J16" s="7">
        <f>SUM('Mountaineer:Charles Town'!J15)</f>
        <v>34329.919999999998</v>
      </c>
      <c r="K16" s="7">
        <f>SUM('Mountaineer:Charles Town'!K15)</f>
        <v>27204.27</v>
      </c>
      <c r="L16" s="7">
        <f>SUM('Mountaineer:Charles Town'!L15)</f>
        <v>1168668.22</v>
      </c>
      <c r="M16" s="7">
        <f>SUM('Mountaineer:Charles Town'!M15)</f>
        <v>61508.86</v>
      </c>
      <c r="N16" s="7">
        <f>SUM('Mountaineer:Charles Town'!N15)</f>
        <v>153772.14000000001</v>
      </c>
      <c r="O16" s="7">
        <f>SUM('Mountaineer:Charles Town'!O15)</f>
        <v>153772.5</v>
      </c>
    </row>
    <row r="17" spans="1:15" ht="15" customHeight="1" x14ac:dyDescent="0.25">
      <c r="A17" s="25" t="s">
        <v>33</v>
      </c>
      <c r="B17" s="7">
        <f>SUM('Mountaineer:Charles Town'!B16)</f>
        <v>7824053.2800000003</v>
      </c>
      <c r="C17" s="7">
        <f>SUM('Mountaineer:Charles Town'!C16)</f>
        <v>2738418.6799999997</v>
      </c>
      <c r="D17" s="7">
        <f>SUM('Mountaineer:Charles Town'!D16)</f>
        <v>234721.62</v>
      </c>
      <c r="E17" s="7">
        <f>SUM('Mountaineer:Charles Town'!E16)</f>
        <v>35208.239999999998</v>
      </c>
      <c r="F17" s="7">
        <f>SUM('Mountaineer:Charles Town'!F16)</f>
        <v>176041.2</v>
      </c>
      <c r="G17" s="7">
        <f>SUM('Mountaineer:Charles Town'!G16)</f>
        <v>140832.97000000003</v>
      </c>
      <c r="H17" s="7">
        <f>SUM('Mountaineer:Charles Town'!H16)</f>
        <v>156481.07999999999</v>
      </c>
      <c r="I17" s="7">
        <f>SUM('Mountaineer:Charles Town'!I16)</f>
        <v>234721.62</v>
      </c>
      <c r="J17" s="7">
        <f>SUM('Mountaineer:Charles Town'!J16)</f>
        <v>39120.28</v>
      </c>
      <c r="K17" s="7">
        <f>SUM('Mountaineer:Charles Town'!K16)</f>
        <v>27623.390000000003</v>
      </c>
      <c r="L17" s="7">
        <f>SUM('Mountaineer:Charles Town'!L16)</f>
        <v>1329175.44</v>
      </c>
      <c r="M17" s="7">
        <f>SUM('Mountaineer:Charles Town'!M16)</f>
        <v>69956.600000000006</v>
      </c>
      <c r="N17" s="7">
        <f>SUM('Mountaineer:Charles Town'!N16)</f>
        <v>174891.75</v>
      </c>
      <c r="O17" s="7">
        <f>SUM('Mountaineer:Charles Town'!O16)</f>
        <v>174891.6</v>
      </c>
    </row>
    <row r="18" spans="1:15" ht="15" customHeight="1" x14ac:dyDescent="0.25">
      <c r="A18" s="27" t="s">
        <v>35</v>
      </c>
      <c r="B18" s="7">
        <f>SUM('Mountaineer:Charles Town'!B17)</f>
        <v>9326895.25</v>
      </c>
      <c r="C18" s="7">
        <f>SUM('Mountaineer:Charles Town'!C17)</f>
        <v>3264413.33</v>
      </c>
      <c r="D18" s="7">
        <f>SUM('Mountaineer:Charles Town'!D17)</f>
        <v>279806.84000000003</v>
      </c>
      <c r="E18" s="7">
        <f>SUM('Mountaineer:Charles Town'!E17)</f>
        <v>41971.020000000004</v>
      </c>
      <c r="F18" s="7">
        <f>SUM('Mountaineer:Charles Town'!F17)</f>
        <v>209855.15</v>
      </c>
      <c r="G18" s="7">
        <f>SUM('Mountaineer:Charles Town'!G17)</f>
        <v>167884.11</v>
      </c>
      <c r="H18" s="7">
        <f>SUM('Mountaineer:Charles Town'!H17)</f>
        <v>186537.89</v>
      </c>
      <c r="I18" s="7">
        <f>SUM('Mountaineer:Charles Town'!I17)</f>
        <v>279806.84000000003</v>
      </c>
      <c r="J18" s="7">
        <f>SUM('Mountaineer:Charles Town'!J17)</f>
        <v>46634.479999999996</v>
      </c>
      <c r="K18" s="7">
        <f>SUM('Mountaineer:Charles Town'!K17)</f>
        <v>27166.46</v>
      </c>
      <c r="L18" s="7">
        <f>SUM('Mountaineer:Charles Town'!L17)</f>
        <v>1580103.44</v>
      </c>
      <c r="M18" s="7">
        <f>SUM('Mountaineer:Charles Town'!M17)</f>
        <v>83163.34</v>
      </c>
      <c r="N18" s="7">
        <f>SUM('Mountaineer:Charles Town'!N17)</f>
        <v>207908.13</v>
      </c>
      <c r="O18" s="7">
        <f>SUM('Mountaineer:Charles Town'!O17)</f>
        <v>207908</v>
      </c>
    </row>
    <row r="19" spans="1:15" ht="15" customHeight="1" x14ac:dyDescent="0.25">
      <c r="A19" s="29" t="s">
        <v>37</v>
      </c>
      <c r="B19" s="7">
        <f>SUM('Mountaineer:Charles Town'!B18)</f>
        <v>8031164.0099999998</v>
      </c>
      <c r="C19" s="7">
        <f>SUM('Mountaineer:Charles Town'!C18)</f>
        <v>2810907.41</v>
      </c>
      <c r="D19" s="7">
        <f>SUM('Mountaineer:Charles Town'!D18)</f>
        <v>240934.9</v>
      </c>
      <c r="E19" s="7">
        <f>SUM('Mountaineer:Charles Town'!E18)</f>
        <v>36140.240000000005</v>
      </c>
      <c r="F19" s="7">
        <f>SUM('Mountaineer:Charles Town'!F18)</f>
        <v>180701.18</v>
      </c>
      <c r="G19" s="7">
        <f>SUM('Mountaineer:Charles Town'!G18)</f>
        <v>144560.94</v>
      </c>
      <c r="H19" s="7">
        <f>SUM('Mountaineer:Charles Town'!H18)</f>
        <v>160623.27000000002</v>
      </c>
      <c r="I19" s="7">
        <f>SUM('Mountaineer:Charles Town'!I18)</f>
        <v>240934.9</v>
      </c>
      <c r="J19" s="7">
        <f>SUM('Mountaineer:Charles Town'!J18)</f>
        <v>40155.82</v>
      </c>
      <c r="K19" s="7">
        <f>SUM('Mountaineer:Charles Town'!K18)</f>
        <v>20438.93</v>
      </c>
      <c r="L19" s="7">
        <f>SUM('Mountaineer:Charles Town'!L18)</f>
        <v>1358344.281</v>
      </c>
      <c r="M19" s="7">
        <f>SUM('Mountaineer:Charles Town'!M18)</f>
        <v>71491.81</v>
      </c>
      <c r="N19" s="7">
        <f>SUM('Mountaineer:Charles Town'!N18)</f>
        <v>178729.5</v>
      </c>
      <c r="O19" s="7">
        <f>SUM('Mountaineer:Charles Town'!O18)</f>
        <v>178730</v>
      </c>
    </row>
    <row r="20" spans="1:15" ht="15" customHeight="1" x14ac:dyDescent="0.25">
      <c r="A20" s="30" t="s">
        <v>38</v>
      </c>
      <c r="B20" s="7">
        <f>SUM('Mountaineer:Charles Town'!B19)</f>
        <v>7598431.7300000004</v>
      </c>
      <c r="C20" s="7">
        <f>SUM('Mountaineer:Charles Town'!C19)</f>
        <v>2659451.14</v>
      </c>
      <c r="D20" s="7">
        <f>SUM('Mountaineer:Charles Town'!D19)</f>
        <v>227952.96</v>
      </c>
      <c r="E20" s="7">
        <f>SUM('Mountaineer:Charles Town'!E19)</f>
        <v>34192.94</v>
      </c>
      <c r="F20" s="7">
        <f>SUM('Mountaineer:Charles Town'!F19)</f>
        <v>170964.72999999998</v>
      </c>
      <c r="G20" s="7">
        <f>SUM('Mountaineer:Charles Town'!G19)</f>
        <v>136771.75999999998</v>
      </c>
      <c r="H20" s="7">
        <f>SUM('Mountaineer:Charles Town'!H19)</f>
        <v>151968.62</v>
      </c>
      <c r="I20" s="7">
        <f>SUM('Mountaineer:Charles Town'!I19)</f>
        <v>227952.96</v>
      </c>
      <c r="J20" s="7">
        <f>SUM('Mountaineer:Charles Town'!J19)</f>
        <v>37992.18</v>
      </c>
      <c r="K20" s="7">
        <f>SUM('Mountaineer:Charles Town'!K19)</f>
        <v>20737.47</v>
      </c>
      <c r="L20" s="31">
        <f>SUM('Mountaineer:Charles Town'!L19)</f>
        <v>1286218.2599999998</v>
      </c>
      <c r="M20" s="7">
        <f>SUM('Mountaineer:Charles Town'!M19)</f>
        <v>67695.700000000012</v>
      </c>
      <c r="N20" s="7">
        <f>SUM('Mountaineer:Charles Town'!N19)</f>
        <v>169239.42</v>
      </c>
      <c r="O20" s="7">
        <f>SUM('Mountaineer:Charles Town'!O19)</f>
        <v>169238</v>
      </c>
    </row>
    <row r="21" spans="1:15" ht="15" customHeight="1" x14ac:dyDescent="0.25">
      <c r="A21" s="32" t="s">
        <v>40</v>
      </c>
      <c r="B21" s="7">
        <f>SUM('Mountaineer:Charles Town'!B20)</f>
        <v>7335160.5600000005</v>
      </c>
      <c r="C21" s="7">
        <f>SUM('Mountaineer:Charles Town'!C20)</f>
        <v>2567306.2000000002</v>
      </c>
      <c r="D21" s="7">
        <f>SUM('Mountaineer:Charles Town'!D20)</f>
        <v>220054.8</v>
      </c>
      <c r="E21" s="7">
        <f>SUM('Mountaineer:Charles Town'!E20)</f>
        <v>33008.229999999996</v>
      </c>
      <c r="F21" s="7">
        <f>SUM('Mountaineer:Charles Town'!F20)</f>
        <v>165041.12</v>
      </c>
      <c r="G21" s="7">
        <f>SUM('Mountaineer:Charles Town'!G20)</f>
        <v>132032.88</v>
      </c>
      <c r="H21" s="7">
        <f>SUM('Mountaineer:Charles Town'!H20)</f>
        <v>146703.20000000001</v>
      </c>
      <c r="I21" s="7">
        <f>SUM('Mountaineer:Charles Town'!I20)</f>
        <v>220054.8</v>
      </c>
      <c r="J21" s="7">
        <f>SUM('Mountaineer:Charles Town'!J20)</f>
        <v>36675.800000000003</v>
      </c>
      <c r="K21" s="7">
        <f>SUM('Mountaineer:Charles Town'!K20)</f>
        <v>19410.230000000003</v>
      </c>
      <c r="L21" s="31">
        <f>SUM('Mountaineer:Charles Town'!L20)</f>
        <v>1241190.6299999999</v>
      </c>
      <c r="M21" s="7">
        <f>SUM('Mountaineer:Charles Town'!M20)</f>
        <v>65325.83</v>
      </c>
      <c r="N21" s="7">
        <f>SUM('Mountaineer:Charles Town'!N20)</f>
        <v>163314.23999999999</v>
      </c>
      <c r="O21" s="7">
        <f>SUM('Mountaineer:Charles Town'!O20)</f>
        <v>163316</v>
      </c>
    </row>
    <row r="22" spans="1:15" ht="13.5" customHeight="1" x14ac:dyDescent="0.25"/>
    <row r="23" spans="1:15" ht="15" customHeight="1" thickBot="1" x14ac:dyDescent="0.3">
      <c r="B23" s="8">
        <f t="shared" ref="B23:O23" si="0">SUM(B10:B22)</f>
        <v>93643697.180000007</v>
      </c>
      <c r="C23" s="8">
        <f t="shared" si="0"/>
        <v>32775294.230000004</v>
      </c>
      <c r="D23" s="8">
        <f t="shared" si="0"/>
        <v>2809310.86</v>
      </c>
      <c r="E23" s="8">
        <f t="shared" si="0"/>
        <v>421396.67</v>
      </c>
      <c r="F23" s="8">
        <f t="shared" si="0"/>
        <v>2106983.1599999997</v>
      </c>
      <c r="G23" s="8">
        <f t="shared" si="0"/>
        <v>1685586.54</v>
      </c>
      <c r="H23" s="8">
        <f t="shared" si="0"/>
        <v>1872873.9500000004</v>
      </c>
      <c r="I23" s="8">
        <f t="shared" si="0"/>
        <v>2809310.86</v>
      </c>
      <c r="J23" s="8">
        <f t="shared" si="0"/>
        <v>468218.49999999994</v>
      </c>
      <c r="K23" s="8">
        <f t="shared" si="0"/>
        <v>301612.55999999994</v>
      </c>
      <c r="L23" s="8">
        <f t="shared" si="0"/>
        <v>15886451.921</v>
      </c>
      <c r="M23" s="8">
        <f t="shared" si="0"/>
        <v>836129.06999999972</v>
      </c>
      <c r="N23" s="8">
        <f t="shared" si="0"/>
        <v>2090322.2099999997</v>
      </c>
      <c r="O23" s="8">
        <f t="shared" si="0"/>
        <v>2090323.56</v>
      </c>
    </row>
    <row r="24" spans="1:15" ht="15" customHeight="1" thickTop="1" x14ac:dyDescent="0.25"/>
    <row r="25" spans="1:15" ht="15" customHeight="1" x14ac:dyDescent="0.25">
      <c r="A25" s="9" t="s">
        <v>14</v>
      </c>
    </row>
    <row r="26" spans="1:15" ht="15" customHeight="1" x14ac:dyDescent="0.25">
      <c r="A26" s="9" t="s">
        <v>15</v>
      </c>
    </row>
  </sheetData>
  <mergeCells count="4">
    <mergeCell ref="A1:O1"/>
    <mergeCell ref="A2:O2"/>
    <mergeCell ref="A3:O3"/>
    <mergeCell ref="A4:O4"/>
  </mergeCells>
  <pageMargins left="0.25" right="0.25" top="0.5" bottom="0.5" header="0" footer="0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workbookViewId="0">
      <selection activeCell="O21" sqref="O21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3.5703125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4.42578125" style="1" customWidth="1"/>
    <col min="16" max="16384" width="9.140625" style="1"/>
  </cols>
  <sheetData>
    <row r="1" spans="1:15" ht="15" customHeight="1" x14ac:dyDescent="0.25">
      <c r="A1" s="35" t="s">
        <v>18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5" customHeight="1" x14ac:dyDescent="0.25">
      <c r="A2" s="13"/>
    </row>
    <row r="3" spans="1:15" ht="15" customHeight="1" x14ac:dyDescent="0.25">
      <c r="A3" s="12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6" t="s">
        <v>24</v>
      </c>
      <c r="B5" s="10">
        <v>11718198.620000001</v>
      </c>
      <c r="C5" s="10">
        <v>4101369.6300000004</v>
      </c>
      <c r="D5" s="10">
        <v>351545.95999999996</v>
      </c>
      <c r="E5" s="10">
        <v>52731.910000000011</v>
      </c>
      <c r="F5" s="10">
        <v>263659.45</v>
      </c>
      <c r="G5" s="10">
        <v>210927.59</v>
      </c>
      <c r="H5" s="10">
        <v>234364.01</v>
      </c>
      <c r="I5" s="10">
        <v>351545.95999999996</v>
      </c>
      <c r="J5" s="10">
        <v>58590.969999999994</v>
      </c>
      <c r="K5" s="10">
        <v>50702.130000000005</v>
      </c>
      <c r="L5" s="10">
        <v>1997816.4800000002</v>
      </c>
      <c r="M5" s="10">
        <v>105148.23</v>
      </c>
      <c r="N5" s="10">
        <v>262870.59000000003</v>
      </c>
      <c r="O5" s="10">
        <v>262870.40000000002</v>
      </c>
    </row>
    <row r="7" spans="1:15" ht="15" customHeight="1" x14ac:dyDescent="0.25">
      <c r="A7" s="36" t="s">
        <v>25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9" spans="1:15" ht="14.25" customHeight="1" x14ac:dyDescent="0.25">
      <c r="A9" s="15" t="str">
        <f>Summary!A10</f>
        <v>July 2023</v>
      </c>
      <c r="B9" s="7">
        <v>979502.75</v>
      </c>
      <c r="C9" s="7">
        <f>ROUND($B9*0.35,2)-0.01</f>
        <v>342825.95</v>
      </c>
      <c r="D9" s="7">
        <f>ROUND($B9*0.03,2)</f>
        <v>29385.08</v>
      </c>
      <c r="E9" s="7">
        <f>ROUND($B9*0.0045,2)+0.01</f>
        <v>4407.7700000000004</v>
      </c>
      <c r="F9" s="7">
        <f t="shared" ref="F9:F17" si="0">ROUND(($B9*0.025)*0.9,2)</f>
        <v>22038.81</v>
      </c>
      <c r="G9" s="7">
        <f t="shared" ref="G9:G13" si="1">ROUND(($B9*0.02)*0.9,2)</f>
        <v>17631.05</v>
      </c>
      <c r="H9" s="7">
        <f t="shared" ref="H9:H17" si="2">ROUND($B9*0.02,2)</f>
        <v>19590.060000000001</v>
      </c>
      <c r="I9" s="7">
        <f>ROUND($B9*0.03,2)</f>
        <v>29385.08</v>
      </c>
      <c r="J9" s="7">
        <f t="shared" ref="J9:J10" si="3">ROUND($B9*0.005,2)</f>
        <v>4897.51</v>
      </c>
      <c r="K9" s="7">
        <v>7066.56</v>
      </c>
      <c r="L9" s="7">
        <f>ROUND((($B9*0.22)+$K9)*0.76,2)-0.03</f>
        <v>169143.42</v>
      </c>
      <c r="M9" s="7">
        <f t="shared" ref="M9:M17" si="4">ROUND((($B9*0.22)+$K9)*0.04,2)</f>
        <v>8902.2900000000009</v>
      </c>
      <c r="N9" s="7">
        <f>ROUND((($B9*0.22)+$K9)*0.1,2)-0.05</f>
        <v>22255.670000000002</v>
      </c>
      <c r="O9" s="7">
        <f>ROUND((($B9*0.22)+$K9)*0.1,2)+0.15</f>
        <v>22255.870000000003</v>
      </c>
    </row>
    <row r="10" spans="1:15" ht="14.25" customHeight="1" x14ac:dyDescent="0.25">
      <c r="A10" s="15" t="str">
        <f>Summary!A11</f>
        <v>August 2023</v>
      </c>
      <c r="B10" s="7">
        <v>817322.75</v>
      </c>
      <c r="C10" s="7">
        <f>ROUND($B10*0.35,2)+0.02</f>
        <v>286062.98000000004</v>
      </c>
      <c r="D10" s="7">
        <f>ROUND($B10*0.03,2)</f>
        <v>24519.68</v>
      </c>
      <c r="E10" s="7">
        <f>ROUND($B10*0.0045,2)+0.01</f>
        <v>3677.96</v>
      </c>
      <c r="F10" s="7">
        <f t="shared" si="0"/>
        <v>18389.759999999998</v>
      </c>
      <c r="G10" s="7">
        <f t="shared" si="1"/>
        <v>14711.81</v>
      </c>
      <c r="H10" s="7">
        <f t="shared" si="2"/>
        <v>16346.46</v>
      </c>
      <c r="I10" s="7">
        <f>ROUND($B10*0.03,2)</f>
        <v>24519.68</v>
      </c>
      <c r="J10" s="7">
        <f t="shared" si="3"/>
        <v>4086.61</v>
      </c>
      <c r="K10" s="7">
        <v>6575.31</v>
      </c>
      <c r="L10" s="7">
        <f>ROUND((($B10*0.22)+$K10)*0.76,2)+0.02</f>
        <v>141653.62</v>
      </c>
      <c r="M10" s="7">
        <f t="shared" si="4"/>
        <v>7455.45</v>
      </c>
      <c r="N10" s="7">
        <f>ROUND((($B10*0.22)+$K10)*0.1,2)+0.07</f>
        <v>18638.7</v>
      </c>
      <c r="O10" s="7">
        <f>ROUND((($B10*0.22)+$K10)*0.1,2)+0.11</f>
        <v>18638.740000000002</v>
      </c>
    </row>
    <row r="11" spans="1:15" ht="14.25" customHeight="1" x14ac:dyDescent="0.25">
      <c r="A11" s="15" t="str">
        <f>Summary!A12</f>
        <v>September 2023</v>
      </c>
      <c r="B11" s="7">
        <v>786794.25</v>
      </c>
      <c r="C11" s="7">
        <f>ROUND($B11*0.35,2)-0.01</f>
        <v>275377.98</v>
      </c>
      <c r="D11" s="7">
        <f>ROUND($B11*0.03,2)-0.01</f>
        <v>23603.820000000003</v>
      </c>
      <c r="E11" s="7">
        <f>ROUND($B11*0.0045,2)+0.01</f>
        <v>3540.5800000000004</v>
      </c>
      <c r="F11" s="7">
        <f t="shared" si="0"/>
        <v>17702.87</v>
      </c>
      <c r="G11" s="7">
        <f t="shared" si="1"/>
        <v>14162.3</v>
      </c>
      <c r="H11" s="7">
        <f t="shared" si="2"/>
        <v>15735.89</v>
      </c>
      <c r="I11" s="7">
        <f>ROUND($B11*0.03,2)-0.01</f>
        <v>23603.820000000003</v>
      </c>
      <c r="J11" s="7">
        <f>ROUND($B11*0.005,2)-0.01</f>
        <v>3933.9599999999996</v>
      </c>
      <c r="K11" s="7">
        <v>6563.95</v>
      </c>
      <c r="L11" s="7">
        <f>ROUND((($B11*0.22)+$K11)*0.76,2)</f>
        <v>136540.6</v>
      </c>
      <c r="M11" s="7">
        <f t="shared" si="4"/>
        <v>7186.35</v>
      </c>
      <c r="N11" s="7">
        <f>ROUND((($B11*0.22)+$K11)*0.1,2)-0.11</f>
        <v>17965.759999999998</v>
      </c>
      <c r="O11" s="7">
        <f>ROUND((($B11*0.22)+$K11)*0.1,2)+0.04</f>
        <v>17965.91</v>
      </c>
    </row>
    <row r="12" spans="1:15" ht="14.25" customHeight="1" x14ac:dyDescent="0.25">
      <c r="A12" s="15" t="str">
        <f>Summary!A13</f>
        <v>October 2023</v>
      </c>
      <c r="B12" s="7">
        <v>978780</v>
      </c>
      <c r="C12" s="7">
        <f>ROUND($B12*0.35,2)+0.01</f>
        <v>342573.01</v>
      </c>
      <c r="D12" s="7">
        <f>ROUND($B12*0.03,2)</f>
        <v>29363.4</v>
      </c>
      <c r="E12" s="7">
        <f>ROUND($B12*0.0045,2)</f>
        <v>4404.51</v>
      </c>
      <c r="F12" s="7">
        <f t="shared" si="0"/>
        <v>22022.55</v>
      </c>
      <c r="G12" s="7">
        <f t="shared" si="1"/>
        <v>17618.04</v>
      </c>
      <c r="H12" s="7">
        <f t="shared" si="2"/>
        <v>19575.599999999999</v>
      </c>
      <c r="I12" s="7">
        <f>ROUND($B12*0.03,2)</f>
        <v>29363.4</v>
      </c>
      <c r="J12" s="7">
        <f t="shared" ref="J12:J20" si="5">ROUND($B12*0.005,2)</f>
        <v>4893.8999999999996</v>
      </c>
      <c r="K12" s="7">
        <v>6178.68</v>
      </c>
      <c r="L12" s="7">
        <f>ROUND((($B12*0.22)+$K12)*0.76,2)+0.01</f>
        <v>168347.82</v>
      </c>
      <c r="M12" s="7">
        <f t="shared" si="4"/>
        <v>8860.41</v>
      </c>
      <c r="N12" s="7">
        <f>ROUND((($B12*0.22)+$K12)*0.1,2)+0.08</f>
        <v>22151.11</v>
      </c>
      <c r="O12" s="7">
        <f>ROUND((($B12*0.22)+$K12)*0.1,2)-0.15</f>
        <v>22150.879999999997</v>
      </c>
    </row>
    <row r="13" spans="1:15" ht="14.25" customHeight="1" x14ac:dyDescent="0.25">
      <c r="A13" s="15" t="str">
        <f>Summary!A14</f>
        <v>November 2023</v>
      </c>
      <c r="B13" s="7">
        <v>713297.75</v>
      </c>
      <c r="C13" s="7">
        <f>ROUND($B13*0.35,2)</f>
        <v>249654.21</v>
      </c>
      <c r="D13" s="7">
        <f>ROUND($B13*0.03,2)-0.01</f>
        <v>21398.920000000002</v>
      </c>
      <c r="E13" s="7">
        <f>ROUND($B13*0.0045,2)</f>
        <v>3209.84</v>
      </c>
      <c r="F13" s="7">
        <f t="shared" si="0"/>
        <v>16049.2</v>
      </c>
      <c r="G13" s="7">
        <f t="shared" si="1"/>
        <v>12839.36</v>
      </c>
      <c r="H13" s="7">
        <f t="shared" si="2"/>
        <v>14265.96</v>
      </c>
      <c r="I13" s="7">
        <f>ROUND($B13*0.03,2)-0.01</f>
        <v>21398.920000000002</v>
      </c>
      <c r="J13" s="7">
        <f t="shared" si="5"/>
        <v>3566.49</v>
      </c>
      <c r="K13" s="7">
        <v>6237.27</v>
      </c>
      <c r="L13" s="7">
        <f>ROUND((($B13*0.22)+$K13)*0.76,2)+0.01</f>
        <v>124003.72</v>
      </c>
      <c r="M13" s="7">
        <f t="shared" si="4"/>
        <v>6526.51</v>
      </c>
      <c r="N13" s="7">
        <f>ROUND((($B13*0.22)+$K13)*0.1,2)-0.07</f>
        <v>16316.210000000001</v>
      </c>
      <c r="O13" s="7">
        <f>ROUND((($B13*0.22)+$K13)*0.1,2)+0.16</f>
        <v>16316.44</v>
      </c>
    </row>
    <row r="14" spans="1:15" ht="14.25" customHeight="1" x14ac:dyDescent="0.25">
      <c r="A14" s="15" t="str">
        <f>Summary!A15</f>
        <v>December 2023</v>
      </c>
      <c r="B14" s="7">
        <v>955476.75</v>
      </c>
      <c r="C14" s="7">
        <f>ROUND($B14*0.35,2)+0.02</f>
        <v>334416.88</v>
      </c>
      <c r="D14" s="7">
        <f>ROUND($B14*0.03,2)</f>
        <v>28664.3</v>
      </c>
      <c r="E14" s="7">
        <f>ROUND($B14*0.0045,2)-0.01</f>
        <v>4299.6399999999994</v>
      </c>
      <c r="F14" s="7">
        <f t="shared" si="0"/>
        <v>21498.23</v>
      </c>
      <c r="G14" s="7">
        <f>ROUND(($B14*0.02)*0.9,2)+0.01</f>
        <v>17198.59</v>
      </c>
      <c r="H14" s="7">
        <f t="shared" si="2"/>
        <v>19109.54</v>
      </c>
      <c r="I14" s="7">
        <f>ROUND($B14*0.03,2)</f>
        <v>28664.3</v>
      </c>
      <c r="J14" s="7">
        <f t="shared" si="5"/>
        <v>4777.38</v>
      </c>
      <c r="K14" s="7">
        <v>7136.18</v>
      </c>
      <c r="L14" s="7">
        <f>ROUND((($B14*0.22)+$K14)*0.76,2)+0.01</f>
        <v>165179.22</v>
      </c>
      <c r="M14" s="7">
        <f t="shared" si="4"/>
        <v>8693.64</v>
      </c>
      <c r="N14" s="7">
        <f>ROUND((($B14*0.22)+$K14)*0.1,2)</f>
        <v>21734.11</v>
      </c>
      <c r="O14" s="7">
        <f>ROUND((($B14*0.22)+$K14)*0.1,2)-0.28</f>
        <v>21733.83</v>
      </c>
    </row>
    <row r="15" spans="1:15" ht="14.25" customHeight="1" x14ac:dyDescent="0.25">
      <c r="A15" s="24" t="str">
        <f>Summary!A16</f>
        <v>January 2024</v>
      </c>
      <c r="B15" s="7">
        <v>859744.75</v>
      </c>
      <c r="C15" s="7">
        <f>ROUND($B15*0.35,2)+0.02</f>
        <v>300910.68</v>
      </c>
      <c r="D15" s="7">
        <f>ROUND($B15*0.03,2)</f>
        <v>25792.34</v>
      </c>
      <c r="E15" s="7">
        <f>ROUND($B15*0.0045,2)</f>
        <v>3868.85</v>
      </c>
      <c r="F15" s="7">
        <f t="shared" si="0"/>
        <v>19344.259999999998</v>
      </c>
      <c r="G15" s="7">
        <f>ROUND(($B15*0.02)*0.9,2)</f>
        <v>15475.41</v>
      </c>
      <c r="H15" s="7">
        <f t="shared" si="2"/>
        <v>17194.900000000001</v>
      </c>
      <c r="I15" s="7">
        <f>ROUND($B15*0.03,2)</f>
        <v>25792.34</v>
      </c>
      <c r="J15" s="7">
        <f t="shared" si="5"/>
        <v>4298.72</v>
      </c>
      <c r="K15" s="7">
        <v>6801.07</v>
      </c>
      <c r="L15" s="7">
        <f>ROUND((($B15*0.22)+$K15)*0.76,2)+0.01</f>
        <v>148918.15000000002</v>
      </c>
      <c r="M15" s="7">
        <f t="shared" si="4"/>
        <v>7837.8</v>
      </c>
      <c r="N15" s="7">
        <f>ROUND((($B15*0.22)+$K15)*0.1,2)+0.01</f>
        <v>19594.5</v>
      </c>
      <c r="O15" s="7">
        <f>ROUND((($B15*0.22)+$K15)*0.1,2)+0.1</f>
        <v>19594.59</v>
      </c>
    </row>
    <row r="16" spans="1:15" ht="14.25" customHeight="1" x14ac:dyDescent="0.25">
      <c r="A16" s="24" t="str">
        <f>Summary!A17</f>
        <v>February 2024</v>
      </c>
      <c r="B16" s="7">
        <v>740403</v>
      </c>
      <c r="C16" s="7">
        <f>ROUND($B16*0.35,2)+0.01</f>
        <v>259141.06</v>
      </c>
      <c r="D16" s="7">
        <f>ROUND($B16*0.03,2)-0.01</f>
        <v>22212.080000000002</v>
      </c>
      <c r="E16" s="7">
        <f>ROUND($B16*0.0045,2)+0.01</f>
        <v>3331.82</v>
      </c>
      <c r="F16" s="7">
        <f t="shared" si="0"/>
        <v>16659.07</v>
      </c>
      <c r="G16" s="7">
        <f>ROUND(($B16*0.02)*0.9,2)</f>
        <v>13327.25</v>
      </c>
      <c r="H16" s="7">
        <f t="shared" si="2"/>
        <v>14808.06</v>
      </c>
      <c r="I16" s="7">
        <f>ROUND($B16*0.03,2)-0.01</f>
        <v>22212.080000000002</v>
      </c>
      <c r="J16" s="7">
        <f t="shared" si="5"/>
        <v>3702.02</v>
      </c>
      <c r="K16" s="7">
        <v>6905.85</v>
      </c>
      <c r="L16" s="7">
        <f>ROUND((($B16*0.22)+$K16)*0.76,2)+0.02</f>
        <v>129043.85</v>
      </c>
      <c r="M16" s="7">
        <f t="shared" si="4"/>
        <v>6791.78</v>
      </c>
      <c r="N16" s="7">
        <f>ROUND((($B16*0.22)+$K16)*0.1,2)+0.05</f>
        <v>16979.5</v>
      </c>
      <c r="O16" s="7">
        <f>ROUND((($B16*0.22)+$K16)*0.1,2)+0.01</f>
        <v>16979.46</v>
      </c>
    </row>
    <row r="17" spans="1:15" ht="14.25" customHeight="1" x14ac:dyDescent="0.25">
      <c r="A17" s="24" t="str">
        <f>Summary!A18</f>
        <v>March 2024</v>
      </c>
      <c r="B17" s="7">
        <v>785309.25</v>
      </c>
      <c r="C17" s="7">
        <f>ROUND($B17*0.35,2)</f>
        <v>274858.23999999999</v>
      </c>
      <c r="D17" s="7">
        <f>ROUND($B17*0.03,2)</f>
        <v>23559.279999999999</v>
      </c>
      <c r="E17" s="7">
        <f>ROUND($B17*0.0045,2)</f>
        <v>3533.89</v>
      </c>
      <c r="F17" s="7">
        <f t="shared" si="0"/>
        <v>17669.46</v>
      </c>
      <c r="G17" s="7">
        <f>ROUND(($B17*0.02)*0.9,2)</f>
        <v>14135.57</v>
      </c>
      <c r="H17" s="7">
        <f t="shared" si="2"/>
        <v>15706.19</v>
      </c>
      <c r="I17" s="7">
        <f>ROUND($B17*0.03,2)</f>
        <v>23559.279999999999</v>
      </c>
      <c r="J17" s="7">
        <f t="shared" si="5"/>
        <v>3926.55</v>
      </c>
      <c r="K17" s="7">
        <v>6791.61</v>
      </c>
      <c r="L17" s="7">
        <f>ROUND((($B17*0.22)+$K17)*0.76,2)-0.01</f>
        <v>136465.31999999998</v>
      </c>
      <c r="M17" s="7">
        <f t="shared" si="4"/>
        <v>7182.39</v>
      </c>
      <c r="N17" s="7">
        <f>ROUND((($B17*0.22)+$K17)*0.1,2)-0.04</f>
        <v>17955.919999999998</v>
      </c>
      <c r="O17" s="7">
        <f>ROUND((($B17*0.22)+$K17)*0.1,2)-0.07</f>
        <v>17955.89</v>
      </c>
    </row>
    <row r="18" spans="1:15" ht="14.25" customHeight="1" x14ac:dyDescent="0.25">
      <c r="A18" s="29" t="s">
        <v>37</v>
      </c>
      <c r="B18" s="7">
        <v>890448.25</v>
      </c>
      <c r="C18" s="7">
        <f>ROUND($B18*0.35,2)</f>
        <v>311656.89</v>
      </c>
      <c r="D18" s="7">
        <f>ROUND($B18*0.03,2)-0.01</f>
        <v>26713.440000000002</v>
      </c>
      <c r="E18" s="7">
        <f>ROUND($B18*0.0045,2)</f>
        <v>4007.02</v>
      </c>
      <c r="F18" s="7">
        <f>ROUND(($B18*0.025)*0.9,2)-0.01</f>
        <v>20035.080000000002</v>
      </c>
      <c r="G18" s="7">
        <f>ROUND(($B18*0.02)*0.9,2)-0.01</f>
        <v>16028.06</v>
      </c>
      <c r="H18" s="7">
        <f>ROUND($B18*0.02,2)-0.01</f>
        <v>17808.960000000003</v>
      </c>
      <c r="I18" s="7">
        <f>ROUND($B18*0.03,2)-0.01</f>
        <v>26713.440000000002</v>
      </c>
      <c r="J18" s="7">
        <f t="shared" si="5"/>
        <v>4452.24</v>
      </c>
      <c r="K18" s="7">
        <v>5109.74</v>
      </c>
      <c r="L18" s="7">
        <f>ROUND((($B18*0.22)+$K18)*0.76,2)+0.02</f>
        <v>152766.37</v>
      </c>
      <c r="M18" s="7">
        <f>ROUND((($B18*0.22)+$K18)*0.04,2)+0.01</f>
        <v>8040.34</v>
      </c>
      <c r="N18" s="7">
        <f>ROUND((($B18*0.22)+$K18)*0.1,2)-0.01</f>
        <v>20100.830000000002</v>
      </c>
      <c r="O18" s="7">
        <f>ROUND((($B18*0.22)+$K18)*0.1,2)+0.12</f>
        <v>20100.96</v>
      </c>
    </row>
    <row r="19" spans="1:15" ht="14.25" customHeight="1" x14ac:dyDescent="0.25">
      <c r="A19" s="30" t="s">
        <v>38</v>
      </c>
      <c r="B19" s="7">
        <v>901189.5</v>
      </c>
      <c r="C19" s="7">
        <f>ROUND($B19*0.35,2)+0.01</f>
        <v>315416.34000000003</v>
      </c>
      <c r="D19" s="7">
        <f>ROUND($B19*0.03,2)-0.01</f>
        <v>27035.68</v>
      </c>
      <c r="E19" s="7">
        <f>ROUND($B19*0.0045,2)</f>
        <v>4055.35</v>
      </c>
      <c r="F19" s="7">
        <f>ROUND(($B19*0.025)*0.9,2)+0.01</f>
        <v>20276.769999999997</v>
      </c>
      <c r="G19" s="7">
        <f>ROUND(($B19*0.02)*0.9,2)-0.01</f>
        <v>16221.4</v>
      </c>
      <c r="H19" s="7">
        <f>ROUND($B19*0.02,2)-0.01</f>
        <v>18023.780000000002</v>
      </c>
      <c r="I19" s="7">
        <f>ROUND($B19*0.03,2)-0.01</f>
        <v>27035.68</v>
      </c>
      <c r="J19" s="7">
        <f t="shared" si="5"/>
        <v>4505.95</v>
      </c>
      <c r="K19" s="7">
        <v>5184.37</v>
      </c>
      <c r="L19" s="31">
        <f>ROUND((($B19*0.22)+$K19)*0.76,2)+0.03</f>
        <v>154619.04</v>
      </c>
      <c r="M19" s="7">
        <f>ROUND((($B19*0.22)+$K19)*0.04,2)</f>
        <v>8137.84</v>
      </c>
      <c r="N19" s="7">
        <f>ROUND((($B19*0.22)+$K19)*0.1,2)+0.04</f>
        <v>20344.650000000001</v>
      </c>
      <c r="O19" s="7">
        <f>ROUND((($B19*0.22)+$K19)*0.1,2)-0.32</f>
        <v>20344.29</v>
      </c>
    </row>
    <row r="20" spans="1:15" ht="14.25" customHeight="1" x14ac:dyDescent="0.25">
      <c r="A20" s="32" t="s">
        <v>40</v>
      </c>
      <c r="B20" s="7">
        <v>730428.75</v>
      </c>
      <c r="C20" s="7">
        <f>ROUND($B20*0.35,2)</f>
        <v>255650.06</v>
      </c>
      <c r="D20" s="7">
        <f>ROUND($B20*0.03,2)-0.02</f>
        <v>21912.84</v>
      </c>
      <c r="E20" s="7">
        <f>ROUND($B20*0.0045,2)</f>
        <v>3286.93</v>
      </c>
      <c r="F20" s="7">
        <f>ROUND(($B20*0.025)*0.9,2)</f>
        <v>16434.650000000001</v>
      </c>
      <c r="G20" s="7">
        <f>ROUND(($B20*0.02)*0.9,2)-0.02</f>
        <v>13147.699999999999</v>
      </c>
      <c r="H20" s="7">
        <f>ROUND($B20*0.02,2)-0.02</f>
        <v>14608.56</v>
      </c>
      <c r="I20" s="7">
        <f>ROUND($B20*0.03,2)-0.02</f>
        <v>21912.84</v>
      </c>
      <c r="J20" s="7">
        <f t="shared" si="5"/>
        <v>3652.14</v>
      </c>
      <c r="K20" s="7">
        <v>4852.5600000000004</v>
      </c>
      <c r="L20" s="31">
        <f>ROUND((($B20*0.22)+$K20)*0.76,2)+0.05</f>
        <v>125815.68000000001</v>
      </c>
      <c r="M20" s="7">
        <f>ROUND((($B20*0.22)+$K20)*0.04,2)</f>
        <v>6621.88</v>
      </c>
      <c r="N20" s="7">
        <f>ROUND((($B20*0.22)+$K20)*0.1,2)-0.06</f>
        <v>16554.629999999997</v>
      </c>
      <c r="O20" s="7">
        <f>ROUND((($B20*0.22)+$K20)*0.1,2)+0.37</f>
        <v>16555.059999999998</v>
      </c>
    </row>
    <row r="22" spans="1:15" ht="15" customHeight="1" thickBot="1" x14ac:dyDescent="0.3">
      <c r="B22" s="8">
        <f t="shared" ref="B22:O22" si="6">SUM(B9:B21)</f>
        <v>10138697.75</v>
      </c>
      <c r="C22" s="8">
        <f t="shared" si="6"/>
        <v>3548544.2800000003</v>
      </c>
      <c r="D22" s="8">
        <f t="shared" si="6"/>
        <v>304160.86000000004</v>
      </c>
      <c r="E22" s="8">
        <f t="shared" si="6"/>
        <v>45624.159999999996</v>
      </c>
      <c r="F22" s="8">
        <f t="shared" si="6"/>
        <v>228120.70999999996</v>
      </c>
      <c r="G22" s="8">
        <f t="shared" si="6"/>
        <v>182496.54</v>
      </c>
      <c r="H22" s="8">
        <f t="shared" si="6"/>
        <v>202773.96</v>
      </c>
      <c r="I22" s="8">
        <f t="shared" si="6"/>
        <v>304160.86000000004</v>
      </c>
      <c r="J22" s="8">
        <f t="shared" si="6"/>
        <v>50693.47</v>
      </c>
      <c r="K22" s="8">
        <f t="shared" si="6"/>
        <v>75403.149999999994</v>
      </c>
      <c r="L22" s="8">
        <f t="shared" si="6"/>
        <v>1752496.8099999998</v>
      </c>
      <c r="M22" s="8">
        <f t="shared" si="6"/>
        <v>92236.680000000008</v>
      </c>
      <c r="N22" s="8">
        <f t="shared" si="6"/>
        <v>230591.59</v>
      </c>
      <c r="O22" s="8">
        <f t="shared" si="6"/>
        <v>230591.91999999998</v>
      </c>
    </row>
    <row r="23" spans="1:15" ht="15" customHeight="1" thickTop="1" x14ac:dyDescent="0.25"/>
    <row r="24" spans="1:15" ht="15" customHeight="1" x14ac:dyDescent="0.25">
      <c r="A24" s="9" t="s">
        <v>14</v>
      </c>
    </row>
    <row r="25" spans="1:15" ht="15" customHeight="1" x14ac:dyDescent="0.25">
      <c r="A25" s="9" t="s">
        <v>15</v>
      </c>
    </row>
  </sheetData>
  <mergeCells count="2">
    <mergeCell ref="A1:O1"/>
    <mergeCell ref="A7:O7"/>
  </mergeCells>
  <pageMargins left="0.25" right="0.25" top="0.5" bottom="0.5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workbookViewId="0">
      <selection activeCell="O21" sqref="O21"/>
    </sheetView>
  </sheetViews>
  <sheetFormatPr defaultColWidth="9.140625" defaultRowHeight="15" customHeight="1" x14ac:dyDescent="0.25"/>
  <cols>
    <col min="1" max="1" width="15.7109375" style="1" customWidth="1"/>
    <col min="2" max="3" width="14.7109375" style="1" customWidth="1"/>
    <col min="4" max="10" width="13.7109375" style="1" customWidth="1"/>
    <col min="11" max="11" width="12.28515625" style="1" customWidth="1"/>
    <col min="12" max="12" width="14.7109375" style="1" customWidth="1"/>
    <col min="13" max="13" width="11.7109375" style="1" customWidth="1"/>
    <col min="14" max="14" width="13.7109375" style="1" customWidth="1"/>
    <col min="15" max="15" width="14.85546875" style="1" customWidth="1"/>
    <col min="16" max="16384" width="9.140625" style="1"/>
  </cols>
  <sheetData>
    <row r="1" spans="1:15" ht="15" customHeight="1" x14ac:dyDescent="0.25">
      <c r="A1" s="35" t="s">
        <v>17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5" customHeight="1" x14ac:dyDescent="0.25">
      <c r="A2" s="13"/>
    </row>
    <row r="3" spans="1:15" ht="15" customHeight="1" x14ac:dyDescent="0.25">
      <c r="A3" s="11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6" t="s">
        <v>24</v>
      </c>
      <c r="B5" s="10">
        <v>7177096.8199999994</v>
      </c>
      <c r="C5" s="10">
        <v>2511983.88</v>
      </c>
      <c r="D5" s="10">
        <v>215312.86</v>
      </c>
      <c r="E5" s="10">
        <v>32296.960000000003</v>
      </c>
      <c r="F5" s="10">
        <v>161484.66999999998</v>
      </c>
      <c r="G5" s="10">
        <v>129187.73</v>
      </c>
      <c r="H5" s="10">
        <v>143541.93</v>
      </c>
      <c r="I5" s="10">
        <v>215312.86</v>
      </c>
      <c r="J5" s="10">
        <v>35885.47</v>
      </c>
      <c r="K5" s="10">
        <v>50702.130000000005</v>
      </c>
      <c r="L5" s="10">
        <v>1238544.2799999998</v>
      </c>
      <c r="M5" s="10">
        <v>65186.530000000006</v>
      </c>
      <c r="N5" s="10">
        <v>162966.35</v>
      </c>
      <c r="O5" s="10">
        <v>162966.16</v>
      </c>
    </row>
    <row r="7" spans="1:15" ht="15" customHeight="1" x14ac:dyDescent="0.25">
      <c r="A7" s="36" t="s">
        <v>25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9" spans="1:15" ht="14.25" customHeight="1" x14ac:dyDescent="0.25">
      <c r="A9" s="15" t="str">
        <f>Summary!A10</f>
        <v>July 2023</v>
      </c>
      <c r="B9" s="7">
        <v>514376.78</v>
      </c>
      <c r="C9" s="7">
        <f>ROUND($B9*0.35,2)</f>
        <v>180031.87</v>
      </c>
      <c r="D9" s="7">
        <f>ROUND($B9*0.03,2)</f>
        <v>15431.3</v>
      </c>
      <c r="E9" s="7">
        <f>ROUND($B9*0.0045,2)</f>
        <v>2314.6999999999998</v>
      </c>
      <c r="F9" s="7">
        <f>ROUND(($B9*0.025)*0.9,2)-0.01</f>
        <v>11573.47</v>
      </c>
      <c r="G9" s="7">
        <f>ROUND(($B9*0.02)*0.9,2)</f>
        <v>9258.7800000000007</v>
      </c>
      <c r="H9" s="7">
        <f t="shared" ref="H9:H17" si="0">ROUND($B9*0.02,2)</f>
        <v>10287.540000000001</v>
      </c>
      <c r="I9" s="7">
        <f>ROUND($B9*0.03,2)</f>
        <v>15431.3</v>
      </c>
      <c r="J9" s="7">
        <f t="shared" ref="J9:J11" si="1">ROUND($B9*0.005,2)</f>
        <v>2571.88</v>
      </c>
      <c r="K9" s="7">
        <v>7066.56</v>
      </c>
      <c r="L9" s="7">
        <f>ROUND((($B9*0.22)+$K9)*0.76,2)</f>
        <v>91374.38</v>
      </c>
      <c r="M9" s="7">
        <f t="shared" ref="M9:M13" si="2">ROUND((($B9*0.22)+$K9)*0.04,2)</f>
        <v>4809.18</v>
      </c>
      <c r="N9" s="7">
        <f>ROUND((($B9*0.22)+$K9)*0.1,2)-0.06</f>
        <v>12022.890000000001</v>
      </c>
      <c r="O9" s="7">
        <f>ROUND((($B9*0.22)+$K9)*0.1,2)+0.14</f>
        <v>12023.09</v>
      </c>
    </row>
    <row r="10" spans="1:15" ht="14.25" customHeight="1" x14ac:dyDescent="0.25">
      <c r="A10" s="15" t="str">
        <f>Summary!A11</f>
        <v>August 2023</v>
      </c>
      <c r="B10" s="7">
        <v>411388.21</v>
      </c>
      <c r="C10" s="7">
        <f>ROUND($B10*0.35,2)+0.02</f>
        <v>143985.88999999998</v>
      </c>
      <c r="D10" s="7">
        <f>ROUND($B10*0.03,2)+0.01</f>
        <v>12341.66</v>
      </c>
      <c r="E10" s="7">
        <f>ROUND($B10*0.0045,2)</f>
        <v>1851.25</v>
      </c>
      <c r="F10" s="7">
        <f>ROUND(($B10*0.025)*0.9,2)</f>
        <v>9256.23</v>
      </c>
      <c r="G10" s="7">
        <f>ROUND(($B10*0.02)*0.9,2)-0.01</f>
        <v>7404.98</v>
      </c>
      <c r="H10" s="7">
        <f t="shared" si="0"/>
        <v>8227.76</v>
      </c>
      <c r="I10" s="7">
        <f>ROUND($B10*0.03,2)+0.01</f>
        <v>12341.66</v>
      </c>
      <c r="J10" s="7">
        <f t="shared" si="1"/>
        <v>2056.94</v>
      </c>
      <c r="K10" s="7">
        <v>6575.3</v>
      </c>
      <c r="L10" s="7">
        <f>ROUND((($B10*0.22)+$K10)*0.76,2)</f>
        <v>73781.34</v>
      </c>
      <c r="M10" s="7">
        <f t="shared" si="2"/>
        <v>3883.23</v>
      </c>
      <c r="N10" s="7">
        <f>ROUND((($B10*0.22)+$K10)*0.1,2)+0.08</f>
        <v>9708.15</v>
      </c>
      <c r="O10" s="7">
        <f>ROUND((($B10*0.22)+$K10)*0.1,2)+0.12</f>
        <v>9708.19</v>
      </c>
    </row>
    <row r="11" spans="1:15" ht="14.25" customHeight="1" x14ac:dyDescent="0.25">
      <c r="A11" s="15" t="str">
        <f>Summary!A12</f>
        <v>September 2023</v>
      </c>
      <c r="B11" s="7">
        <v>393559.03999999998</v>
      </c>
      <c r="C11" s="7">
        <f>ROUND($B11*0.35,2)-0.01</f>
        <v>137745.65</v>
      </c>
      <c r="D11" s="7">
        <f>ROUND($B11*0.03,2)-0.01</f>
        <v>11806.76</v>
      </c>
      <c r="E11" s="7">
        <f>ROUND($B11*0.0045,2)</f>
        <v>1771.02</v>
      </c>
      <c r="F11" s="7">
        <f>ROUND(($B11*0.025)*0.9,2)</f>
        <v>8855.08</v>
      </c>
      <c r="G11" s="7">
        <f>ROUND(($B11*0.02)*0.9,2)</f>
        <v>7084.06</v>
      </c>
      <c r="H11" s="7">
        <f t="shared" si="0"/>
        <v>7871.18</v>
      </c>
      <c r="I11" s="7">
        <f>ROUND($B11*0.03,2)-0.01</f>
        <v>11806.76</v>
      </c>
      <c r="J11" s="7">
        <f t="shared" si="1"/>
        <v>1967.8</v>
      </c>
      <c r="K11" s="7">
        <v>6563.95</v>
      </c>
      <c r="L11" s="7">
        <f>ROUND((($B11*0.22)+$K11)*0.76,2)+0.01</f>
        <v>70791.679999999993</v>
      </c>
      <c r="M11" s="7">
        <f t="shared" si="2"/>
        <v>3725.88</v>
      </c>
      <c r="N11" s="7">
        <f>ROUND((($B11*0.22)+$K11)*0.1,2)-0.11</f>
        <v>9314.58</v>
      </c>
      <c r="O11" s="7">
        <f>ROUND((($B11*0.22)+$K11)*0.1,2)+0.04</f>
        <v>9314.7300000000014</v>
      </c>
    </row>
    <row r="12" spans="1:15" ht="14.25" customHeight="1" x14ac:dyDescent="0.25">
      <c r="A12" s="15" t="str">
        <f>Summary!A13</f>
        <v>October 2023</v>
      </c>
      <c r="B12" s="7">
        <v>639713.66</v>
      </c>
      <c r="C12" s="7">
        <f>ROUND($B12*0.35,2)+0.02</f>
        <v>223899.8</v>
      </c>
      <c r="D12" s="7">
        <f>ROUND($B12*0.03,2)-0.01</f>
        <v>19191.400000000001</v>
      </c>
      <c r="E12" s="7">
        <f>ROUND($B12*0.0045,2)</f>
        <v>2878.71</v>
      </c>
      <c r="F12" s="7">
        <f>ROUND(($B12*0.025)*0.9,2)+0.01</f>
        <v>14393.57</v>
      </c>
      <c r="G12" s="7">
        <f>ROUND(($B12*0.02)*0.9,2)-0.01</f>
        <v>11514.84</v>
      </c>
      <c r="H12" s="7">
        <f t="shared" si="0"/>
        <v>12794.27</v>
      </c>
      <c r="I12" s="7">
        <f>ROUND($B12*0.03,2)-0.01</f>
        <v>19191.400000000001</v>
      </c>
      <c r="J12" s="7">
        <f>ROUND($B12*0.005,2)+0.01</f>
        <v>3198.5800000000004</v>
      </c>
      <c r="K12" s="7">
        <v>6178.69</v>
      </c>
      <c r="L12" s="7">
        <f>ROUND((($B12*0.22)+$K12)*0.76,2)+0.02</f>
        <v>111655.95</v>
      </c>
      <c r="M12" s="7">
        <f t="shared" si="2"/>
        <v>5876.63</v>
      </c>
      <c r="N12" s="7">
        <f>ROUND((($B12*0.22)+$K12)*0.1,2)+0.08</f>
        <v>14691.65</v>
      </c>
      <c r="O12" s="7">
        <f>ROUND((($B12*0.22)+$K12)*0.1,2)-0.15</f>
        <v>14691.42</v>
      </c>
    </row>
    <row r="13" spans="1:15" ht="14.25" customHeight="1" x14ac:dyDescent="0.25">
      <c r="A13" s="15" t="str">
        <f>Summary!A14</f>
        <v>November 2023</v>
      </c>
      <c r="B13" s="7">
        <v>614165.81999999995</v>
      </c>
      <c r="C13" s="7">
        <f>ROUND($B13*0.35,2)-0.01</f>
        <v>214958.03</v>
      </c>
      <c r="D13" s="7">
        <f>ROUND($B13*0.03,2)+0.01</f>
        <v>18424.98</v>
      </c>
      <c r="E13" s="7">
        <f>ROUND($B13*0.0045,2)-0.01</f>
        <v>2763.74</v>
      </c>
      <c r="F13" s="7">
        <f>ROUND(($B13*0.025)*0.9,2)</f>
        <v>13818.73</v>
      </c>
      <c r="G13" s="7">
        <f>ROUND(($B13*0.02)*0.9,2)+0.01</f>
        <v>11054.99</v>
      </c>
      <c r="H13" s="7">
        <f t="shared" si="0"/>
        <v>12283.32</v>
      </c>
      <c r="I13" s="7">
        <f>ROUND($B13*0.03,2)+0.01</f>
        <v>18424.98</v>
      </c>
      <c r="J13" s="7">
        <f>ROUND($B13*0.005,2)</f>
        <v>3070.83</v>
      </c>
      <c r="K13" s="7">
        <v>6237.27</v>
      </c>
      <c r="L13" s="7">
        <f>ROUND((($B13*0.22)+$K13)*0.76,2)-0.01</f>
        <v>107428.84000000001</v>
      </c>
      <c r="M13" s="7">
        <f t="shared" si="2"/>
        <v>5654.15</v>
      </c>
      <c r="N13" s="7">
        <f>ROUND((($B13*0.22)+$K13)*0.1,2)-0.08</f>
        <v>14135.3</v>
      </c>
      <c r="O13" s="7">
        <f>ROUND((($B13*0.22)+$K13)*0.1,2)+0.15</f>
        <v>14135.529999999999</v>
      </c>
    </row>
    <row r="14" spans="1:15" ht="14.25" customHeight="1" x14ac:dyDescent="0.25">
      <c r="A14" s="15" t="str">
        <f>Summary!A15</f>
        <v>December 2023</v>
      </c>
      <c r="B14" s="7">
        <v>717911.07</v>
      </c>
      <c r="C14" s="7">
        <f>ROUND($B14*0.35,2)+0.01</f>
        <v>251268.88</v>
      </c>
      <c r="D14" s="7">
        <f>ROUND($B14*0.03,2)-0.01</f>
        <v>21537.320000000003</v>
      </c>
      <c r="E14" s="7">
        <f>ROUND($B14*0.0045,2)</f>
        <v>3230.6</v>
      </c>
      <c r="F14" s="7">
        <f>ROUND(($B14*0.025)*0.9,2)-0.01</f>
        <v>16152.99</v>
      </c>
      <c r="G14" s="7">
        <f t="shared" ref="G14:G18" si="3">ROUND(($B14*0.02)*0.9,2)</f>
        <v>12922.4</v>
      </c>
      <c r="H14" s="7">
        <f t="shared" si="0"/>
        <v>14358.22</v>
      </c>
      <c r="I14" s="7">
        <f>ROUND($B14*0.03,2)-0.01</f>
        <v>21537.320000000003</v>
      </c>
      <c r="J14" s="7">
        <f>ROUND($B14*0.005,2)</f>
        <v>3589.56</v>
      </c>
      <c r="K14" s="7">
        <v>7136.18</v>
      </c>
      <c r="L14" s="7">
        <f>ROUND((($B14*0.22)+$K14)*0.76,2)+0.01</f>
        <v>125458.23999999999</v>
      </c>
      <c r="M14" s="7">
        <f>ROUND((($B14*0.22)+$K14)*0.04,2)+0.01</f>
        <v>6603.0700000000006</v>
      </c>
      <c r="N14" s="7">
        <f>ROUND((($B14*0.22)+$K14)*0.1,2)+0.01</f>
        <v>16507.669999999998</v>
      </c>
      <c r="O14" s="7">
        <f>ROUND((($B14*0.22)+$K14)*0.1,2)-0.27</f>
        <v>16507.39</v>
      </c>
    </row>
    <row r="15" spans="1:15" ht="14.25" customHeight="1" x14ac:dyDescent="0.25">
      <c r="A15" s="24" t="str">
        <f>Summary!A16</f>
        <v>January 2024</v>
      </c>
      <c r="B15" s="7">
        <v>402665.60000000003</v>
      </c>
      <c r="C15" s="7">
        <f>ROUND($B15*0.35,2)+0.01</f>
        <v>140932.97</v>
      </c>
      <c r="D15" s="7">
        <f>ROUND($B15*0.03,2)+0.01</f>
        <v>12079.98</v>
      </c>
      <c r="E15" s="7">
        <f>ROUND($B15*0.0045,2)-0.01</f>
        <v>1811.99</v>
      </c>
      <c r="F15" s="7">
        <f>ROUND(($B15*0.025)*0.9,2)</f>
        <v>9059.98</v>
      </c>
      <c r="G15" s="7">
        <f t="shared" si="3"/>
        <v>7247.98</v>
      </c>
      <c r="H15" s="7">
        <f t="shared" si="0"/>
        <v>8053.31</v>
      </c>
      <c r="I15" s="7">
        <f>ROUND($B15*0.03,2)+0.01</f>
        <v>12079.98</v>
      </c>
      <c r="J15" s="7">
        <f>ROUND($B15*0.005,2)-0.01</f>
        <v>2013.32</v>
      </c>
      <c r="K15" s="7">
        <v>6801.07</v>
      </c>
      <c r="L15" s="7">
        <f>ROUND((($B15*0.22)+$K15)*0.76,2)</f>
        <v>72494.5</v>
      </c>
      <c r="M15" s="7">
        <f>ROUND((($B15*0.22)+$K15)*0.04,2)</f>
        <v>3815.5</v>
      </c>
      <c r="N15" s="7">
        <f>ROUND((($B15*0.22)+$K15)*0.1,2)+0.01</f>
        <v>9538.76</v>
      </c>
      <c r="O15" s="7">
        <f>ROUND((($B15*0.22)+$K15)*0.1,2)+0.1</f>
        <v>9538.85</v>
      </c>
    </row>
    <row r="16" spans="1:15" ht="14.25" customHeight="1" x14ac:dyDescent="0.25">
      <c r="A16" s="24" t="str">
        <f>Summary!A17</f>
        <v>February 2024</v>
      </c>
      <c r="B16" s="7">
        <v>544815.91</v>
      </c>
      <c r="C16" s="7">
        <f>ROUND($B16*0.35,2)+0.01</f>
        <v>190685.58000000002</v>
      </c>
      <c r="D16" s="7">
        <f>ROUND($B16*0.03,2)</f>
        <v>16344.48</v>
      </c>
      <c r="E16" s="7">
        <f>ROUND($B16*0.0045,2)</f>
        <v>2451.67</v>
      </c>
      <c r="F16" s="7">
        <f>ROUND(($B16*0.025)*0.9,2)</f>
        <v>12258.36</v>
      </c>
      <c r="G16" s="7">
        <f t="shared" si="3"/>
        <v>9806.69</v>
      </c>
      <c r="H16" s="7">
        <f t="shared" si="0"/>
        <v>10896.32</v>
      </c>
      <c r="I16" s="7">
        <f>ROUND($B16*0.03,2)</f>
        <v>16344.48</v>
      </c>
      <c r="J16" s="7">
        <f>ROUND($B16*0.005,2)</f>
        <v>2724.08</v>
      </c>
      <c r="K16" s="7">
        <v>6905.85</v>
      </c>
      <c r="L16" s="7">
        <f>ROUND((($B16*0.22)+$K16)*0.76,2)-0.01</f>
        <v>96341.66</v>
      </c>
      <c r="M16" s="7">
        <f>ROUND((($B16*0.22)+$K16)*0.04,2)</f>
        <v>5070.6099999999997</v>
      </c>
      <c r="N16" s="7">
        <f>ROUND((($B16*0.22)+$K16)*0.1,2)+0.06</f>
        <v>12676.6</v>
      </c>
      <c r="O16" s="7">
        <f>ROUND((($B16*0.22)+$K16)*0.1,2)+0.02</f>
        <v>12676.560000000001</v>
      </c>
    </row>
    <row r="17" spans="1:15" ht="14.25" customHeight="1" x14ac:dyDescent="0.25">
      <c r="A17" s="24" t="str">
        <f>Summary!A18</f>
        <v>March 2024</v>
      </c>
      <c r="B17" s="7">
        <v>678319.07999999984</v>
      </c>
      <c r="C17" s="7">
        <f>ROUND($B17*0.35,2)</f>
        <v>237411.68</v>
      </c>
      <c r="D17" s="7">
        <f>ROUND($B17*0.03,2)+0.01</f>
        <v>20349.579999999998</v>
      </c>
      <c r="E17" s="7">
        <f>ROUND($B17*0.0045,2)</f>
        <v>3052.44</v>
      </c>
      <c r="F17" s="7">
        <f>ROUND(($B17*0.025)*0.9,2)</f>
        <v>15262.18</v>
      </c>
      <c r="G17" s="7">
        <f t="shared" si="3"/>
        <v>12209.74</v>
      </c>
      <c r="H17" s="7">
        <f t="shared" si="0"/>
        <v>13566.38</v>
      </c>
      <c r="I17" s="7">
        <f>ROUND($B17*0.03,2)+0.01</f>
        <v>20349.579999999998</v>
      </c>
      <c r="J17" s="7">
        <f>ROUND($B17*0.005,2)</f>
        <v>3391.6</v>
      </c>
      <c r="K17" s="7">
        <v>6791.61</v>
      </c>
      <c r="L17" s="7">
        <f>ROUND((($B17*0.22)+$K17)*0.76,2)-0.01</f>
        <v>118576.56000000001</v>
      </c>
      <c r="M17" s="7">
        <f>ROUND((($B17*0.22)+$K17)*0.04,2)</f>
        <v>6240.87</v>
      </c>
      <c r="N17" s="7">
        <f>ROUND((($B17*0.22)+$K17)*0.1,2)-0.05</f>
        <v>15602.130000000001</v>
      </c>
      <c r="O17" s="7">
        <f>ROUND((($B17*0.22)+$K17)*0.1,2)-0.09</f>
        <v>15602.09</v>
      </c>
    </row>
    <row r="18" spans="1:15" ht="14.25" customHeight="1" x14ac:dyDescent="0.25">
      <c r="A18" s="29" t="s">
        <v>37</v>
      </c>
      <c r="B18" s="7">
        <v>423656.25</v>
      </c>
      <c r="C18" s="7">
        <f>ROUND($B18*0.35,2)</f>
        <v>148279.69</v>
      </c>
      <c r="D18" s="7">
        <f>ROUND($B18*0.03,2)-0.01</f>
        <v>12709.68</v>
      </c>
      <c r="E18" s="7">
        <f>ROUND($B18*0.0045,2)</f>
        <v>1906.45</v>
      </c>
      <c r="F18" s="7">
        <f>ROUND(($B18*0.025)*0.9,2)-0.01</f>
        <v>9532.26</v>
      </c>
      <c r="G18" s="7">
        <f t="shared" si="3"/>
        <v>7625.81</v>
      </c>
      <c r="H18" s="7">
        <f>ROUND($B18*0.02,2)-0.01</f>
        <v>8473.119999999999</v>
      </c>
      <c r="I18" s="7">
        <f>ROUND($B18*0.03,2)-0.01</f>
        <v>12709.68</v>
      </c>
      <c r="J18" s="7">
        <f>ROUND($B18*0.005,2)</f>
        <v>2118.2800000000002</v>
      </c>
      <c r="K18" s="7">
        <v>5109.7299999999996</v>
      </c>
      <c r="L18" s="7">
        <f>ROUND((($B18*0.22)+$K18)*0.76,2)+0.03</f>
        <v>74718.75</v>
      </c>
      <c r="M18" s="7">
        <f>ROUND((($B18*0.22)+$K18)*0.04,2)+0.01</f>
        <v>3932.57</v>
      </c>
      <c r="N18" s="7">
        <f>ROUND((($B18*0.22)+$K18)*0.1,2)-0.01</f>
        <v>9831.4</v>
      </c>
      <c r="O18" s="7">
        <f>ROUND((($B18*0.22)+$K18)*0.1,2)+0.13</f>
        <v>9831.5399999999991</v>
      </c>
    </row>
    <row r="19" spans="1:15" ht="14.25" customHeight="1" x14ac:dyDescent="0.25">
      <c r="A19" s="30" t="s">
        <v>38</v>
      </c>
      <c r="B19" s="7">
        <v>634873.81000000006</v>
      </c>
      <c r="C19" s="7">
        <f>ROUND($B19*0.35,2)+0.01</f>
        <v>222205.84</v>
      </c>
      <c r="D19" s="7">
        <f>ROUND($B19*0.03,2)-0.01</f>
        <v>19046.2</v>
      </c>
      <c r="E19" s="7">
        <f>ROUND($B19*0.0045,2)</f>
        <v>2856.93</v>
      </c>
      <c r="F19" s="7">
        <f>ROUND(($B19*0.025)*0.9,2)+0.01</f>
        <v>14284.67</v>
      </c>
      <c r="G19" s="7">
        <f>ROUND(($B19*0.02)*0.9,2)-0.01</f>
        <v>11427.72</v>
      </c>
      <c r="H19" s="7">
        <f>ROUND($B19*0.02,2)-0.02</f>
        <v>12697.46</v>
      </c>
      <c r="I19" s="7">
        <f>ROUND($B19*0.03,2)-0.01</f>
        <v>19046.2</v>
      </c>
      <c r="J19" s="7">
        <f>ROUND($B19*0.005,2)+0.01</f>
        <v>3174.38</v>
      </c>
      <c r="K19" s="7">
        <v>5184.37</v>
      </c>
      <c r="L19" s="31">
        <f>ROUND((($B19*0.22)+$K19)*0.76,2)+0.02</f>
        <v>110091.04000000001</v>
      </c>
      <c r="M19" s="7">
        <f>ROUND((($B19*0.22)+$K19)*0.04,2)+0.01</f>
        <v>5794.27</v>
      </c>
      <c r="N19" s="7">
        <f>ROUND((($B19*0.22)+$K19)*0.1,2)+0.06</f>
        <v>14485.72</v>
      </c>
      <c r="O19" s="7">
        <f>ROUND((($B19*0.22)+$K19)*0.1,2)-0.31</f>
        <v>14485.35</v>
      </c>
    </row>
    <row r="20" spans="1:15" ht="14.25" customHeight="1" x14ac:dyDescent="0.25">
      <c r="A20" s="32" t="s">
        <v>40</v>
      </c>
      <c r="B20" s="7">
        <v>456735.81</v>
      </c>
      <c r="C20" s="7">
        <f>ROUND($B20*0.35,2)-0.01</f>
        <v>159857.51999999999</v>
      </c>
      <c r="D20" s="7">
        <f>ROUND($B20*0.03,2)+0.01</f>
        <v>13702.08</v>
      </c>
      <c r="E20" s="7">
        <f>ROUND($B20*0.0045,2)</f>
        <v>2055.31</v>
      </c>
      <c r="F20" s="7">
        <f>ROUND(($B20*0.025)*0.9,2)</f>
        <v>10276.56</v>
      </c>
      <c r="G20" s="7">
        <f>ROUND(($B20*0.02)*0.9,2)+0.01</f>
        <v>8221.25</v>
      </c>
      <c r="H20" s="7">
        <f>ROUND($B20*0.02,2)</f>
        <v>9134.7199999999993</v>
      </c>
      <c r="I20" s="7">
        <f>ROUND($B20*0.03,2)+0.01</f>
        <v>13702.08</v>
      </c>
      <c r="J20" s="7">
        <f>ROUND($B20*0.005,2)</f>
        <v>2283.6799999999998</v>
      </c>
      <c r="K20" s="7">
        <v>4852.5600000000004</v>
      </c>
      <c r="L20" s="31">
        <f>ROUND((($B20*0.22)+$K20)*0.76,2)-0.03</f>
        <v>80054.14</v>
      </c>
      <c r="M20" s="7">
        <f>ROUND((($B20*0.22)+$K20)*0.04,2)</f>
        <v>4213.38</v>
      </c>
      <c r="N20" s="7">
        <f>ROUND((($B20*0.22)+$K20)*0.1,2)-0.08</f>
        <v>10533.36</v>
      </c>
      <c r="O20" s="7">
        <f>ROUND((($B20*0.22)+$K20)*0.1,2)+0.36</f>
        <v>10533.800000000001</v>
      </c>
    </row>
    <row r="22" spans="1:15" ht="15" customHeight="1" thickBot="1" x14ac:dyDescent="0.3">
      <c r="B22" s="8">
        <f t="shared" ref="B22:O22" si="4">SUM(B9:B21)</f>
        <v>6432181.04</v>
      </c>
      <c r="C22" s="8">
        <f t="shared" si="4"/>
        <v>2251263.4</v>
      </c>
      <c r="D22" s="8">
        <f t="shared" si="4"/>
        <v>192965.41999999998</v>
      </c>
      <c r="E22" s="8">
        <f t="shared" si="4"/>
        <v>28944.81</v>
      </c>
      <c r="F22" s="8">
        <f t="shared" si="4"/>
        <v>144724.07999999999</v>
      </c>
      <c r="G22" s="8">
        <f t="shared" si="4"/>
        <v>115779.24</v>
      </c>
      <c r="H22" s="8">
        <f t="shared" si="4"/>
        <v>128643.59999999998</v>
      </c>
      <c r="I22" s="8">
        <f t="shared" si="4"/>
        <v>192965.41999999998</v>
      </c>
      <c r="J22" s="8">
        <f t="shared" si="4"/>
        <v>32160.929999999997</v>
      </c>
      <c r="K22" s="8">
        <f t="shared" si="4"/>
        <v>75403.139999999985</v>
      </c>
      <c r="L22" s="8">
        <f t="shared" si="4"/>
        <v>1132767.0799999998</v>
      </c>
      <c r="M22" s="8">
        <f t="shared" si="4"/>
        <v>59619.340000000004</v>
      </c>
      <c r="N22" s="8">
        <f t="shared" si="4"/>
        <v>149048.21000000002</v>
      </c>
      <c r="O22" s="8">
        <f t="shared" si="4"/>
        <v>149048.53999999998</v>
      </c>
    </row>
    <row r="23" spans="1:15" ht="15" customHeight="1" thickTop="1" x14ac:dyDescent="0.25"/>
    <row r="24" spans="1:15" ht="15" customHeight="1" x14ac:dyDescent="0.25">
      <c r="A24" s="9" t="s">
        <v>14</v>
      </c>
    </row>
    <row r="25" spans="1:15" ht="15" customHeight="1" x14ac:dyDescent="0.25">
      <c r="A25" s="9" t="s">
        <v>15</v>
      </c>
    </row>
  </sheetData>
  <mergeCells count="2">
    <mergeCell ref="A1:O1"/>
    <mergeCell ref="A7:O7"/>
  </mergeCells>
  <pageMargins left="0.25" right="0.25" top="0.5" bottom="0.5" header="0" footer="0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workbookViewId="0">
      <selection activeCell="O21" sqref="O21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4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4.7109375" style="1" customWidth="1"/>
    <col min="16" max="16384" width="9.140625" style="1"/>
  </cols>
  <sheetData>
    <row r="1" spans="1:15" ht="15" customHeight="1" x14ac:dyDescent="0.25">
      <c r="A1" s="35" t="s">
        <v>16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5" customHeight="1" x14ac:dyDescent="0.25">
      <c r="A2" s="14"/>
    </row>
    <row r="3" spans="1:15" ht="15" customHeight="1" x14ac:dyDescent="0.25">
      <c r="A3" s="11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6" t="s">
        <v>24</v>
      </c>
      <c r="B5" s="10">
        <v>15141965.5</v>
      </c>
      <c r="C5" s="10">
        <v>5299688.0500000007</v>
      </c>
      <c r="D5" s="10">
        <v>454258.93999999994</v>
      </c>
      <c r="E5" s="10">
        <v>68138.869999999981</v>
      </c>
      <c r="F5" s="10">
        <v>340694.25000000006</v>
      </c>
      <c r="G5" s="10">
        <v>272555.38</v>
      </c>
      <c r="H5" s="10">
        <v>302839.33</v>
      </c>
      <c r="I5" s="10">
        <v>454258.93999999994</v>
      </c>
      <c r="J5" s="10">
        <v>75709.819999999992</v>
      </c>
      <c r="K5" s="10">
        <v>50702.14</v>
      </c>
      <c r="L5" s="10">
        <v>2570270.33</v>
      </c>
      <c r="M5" s="10">
        <v>135277.38999999998</v>
      </c>
      <c r="N5" s="10">
        <v>338193.46000000008</v>
      </c>
      <c r="O5" s="10">
        <v>338193.27</v>
      </c>
    </row>
    <row r="7" spans="1:15" ht="15" customHeight="1" x14ac:dyDescent="0.25">
      <c r="A7" s="36" t="s">
        <v>25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9" spans="1:15" ht="14.25" customHeight="1" x14ac:dyDescent="0.25">
      <c r="A9" s="15" t="str">
        <f>Summary!A10</f>
        <v>July 2023</v>
      </c>
      <c r="B9" s="7">
        <v>1289403.25</v>
      </c>
      <c r="C9" s="7">
        <f>ROUND($B9*0.35,2)</f>
        <v>451291.14</v>
      </c>
      <c r="D9" s="7">
        <f t="shared" ref="D9:D13" si="0">ROUND($B9*0.03,2)</f>
        <v>38682.1</v>
      </c>
      <c r="E9" s="7">
        <f>ROUND($B9*0.0045,2)+0.01</f>
        <v>5802.3200000000006</v>
      </c>
      <c r="F9" s="7">
        <f t="shared" ref="F9:F10" si="1">ROUND(($B9*0.025)*0.9,2)</f>
        <v>29011.57</v>
      </c>
      <c r="G9" s="7">
        <f>ROUND(($B9*0.02)*0.9,2)</f>
        <v>23209.26</v>
      </c>
      <c r="H9" s="7">
        <f t="shared" ref="H9:H17" si="2">ROUND($B9*0.02,2)</f>
        <v>25788.07</v>
      </c>
      <c r="I9" s="7">
        <f t="shared" ref="I9:I13" si="3">ROUND($B9*0.03,2)</f>
        <v>38682.1</v>
      </c>
      <c r="J9" s="7">
        <f>ROUND($B9*0.005,2)-0.01</f>
        <v>6447.01</v>
      </c>
      <c r="K9" s="7">
        <v>7066.57</v>
      </c>
      <c r="L9" s="7">
        <f>ROUND((($B9*0.22)+$K9)*0.76,2)-0.01</f>
        <v>220958.81</v>
      </c>
      <c r="M9" s="7">
        <f t="shared" ref="M9:M20" si="4">ROUND((($B9*0.22)+$K9)*0.04,2)</f>
        <v>11629.41</v>
      </c>
      <c r="N9" s="7">
        <f>ROUND((($B9*0.22)+$K9)*0.1,2)-0.06</f>
        <v>29073.469999999998</v>
      </c>
      <c r="O9" s="7">
        <f>ROUND((($B9*0.22)+$K9)*0.1,2)+0.14</f>
        <v>29073.67</v>
      </c>
    </row>
    <row r="10" spans="1:15" ht="14.25" customHeight="1" x14ac:dyDescent="0.25">
      <c r="A10" s="15" t="str">
        <f>Summary!A11</f>
        <v>August 2023</v>
      </c>
      <c r="B10" s="7">
        <v>1566692.75</v>
      </c>
      <c r="C10" s="7">
        <f>ROUND($B10*0.35,2)+0.01</f>
        <v>548342.47</v>
      </c>
      <c r="D10" s="7">
        <f t="shared" si="0"/>
        <v>47000.78</v>
      </c>
      <c r="E10" s="7">
        <f>ROUND($B10*0.0045,2)</f>
        <v>7050.12</v>
      </c>
      <c r="F10" s="7">
        <f t="shared" si="1"/>
        <v>35250.589999999997</v>
      </c>
      <c r="G10" s="7">
        <f>ROUND(($B10*0.02)*0.9,2)</f>
        <v>28200.47</v>
      </c>
      <c r="H10" s="7">
        <f t="shared" si="2"/>
        <v>31333.86</v>
      </c>
      <c r="I10" s="7">
        <f t="shared" si="3"/>
        <v>47000.78</v>
      </c>
      <c r="J10" s="7">
        <f>ROUND($B10*0.005,2)</f>
        <v>7833.46</v>
      </c>
      <c r="K10" s="7">
        <v>6575.3</v>
      </c>
      <c r="L10" s="7">
        <f>ROUND((($B10*0.22)+$K10)*0.76,2)</f>
        <v>266948.26</v>
      </c>
      <c r="M10" s="7">
        <f t="shared" si="4"/>
        <v>14049.91</v>
      </c>
      <c r="N10" s="7">
        <f>ROUND((($B10*0.22)+$K10)*0.1,2)+0.08</f>
        <v>35124.85</v>
      </c>
      <c r="O10" s="7">
        <f>ROUND((($B10*0.22)+$K10)*0.1,2)+0.12</f>
        <v>35124.89</v>
      </c>
    </row>
    <row r="11" spans="1:15" ht="14.25" customHeight="1" x14ac:dyDescent="0.25">
      <c r="A11" s="15" t="str">
        <f>Summary!A12</f>
        <v>September 2023</v>
      </c>
      <c r="B11" s="7">
        <v>1397222.5</v>
      </c>
      <c r="C11" s="7">
        <f>ROUND($B11*0.35,2)-0.01</f>
        <v>489027.87</v>
      </c>
      <c r="D11" s="7">
        <f t="shared" si="0"/>
        <v>41916.68</v>
      </c>
      <c r="E11" s="7">
        <f>ROUND($B11*0.0045,2)+0.01</f>
        <v>6287.51</v>
      </c>
      <c r="F11" s="7">
        <f>ROUND(($B11*0.025)*0.9,2)-0.01</f>
        <v>31437.5</v>
      </c>
      <c r="G11" s="7">
        <f>ROUND(($B11*0.02)*0.9,2)-0.01</f>
        <v>25150</v>
      </c>
      <c r="H11" s="7">
        <f t="shared" si="2"/>
        <v>27944.45</v>
      </c>
      <c r="I11" s="7">
        <f t="shared" si="3"/>
        <v>41916.68</v>
      </c>
      <c r="J11" s="7">
        <f>ROUND($B11*0.005,2)</f>
        <v>6986.11</v>
      </c>
      <c r="K11" s="7">
        <v>6563.95</v>
      </c>
      <c r="L11" s="7">
        <f>ROUND((($B11*0.22)+$K11)*0.76,2)-0.01</f>
        <v>238604.19</v>
      </c>
      <c r="M11" s="7">
        <f t="shared" si="4"/>
        <v>12558.12</v>
      </c>
      <c r="N11" s="7">
        <f>ROUND((($B11*0.22)+$K11)*0.1,2)-0.12</f>
        <v>31395.170000000002</v>
      </c>
      <c r="O11" s="7">
        <f>ROUND((($B11*0.22)+$K11)*0.1,2)+0.04</f>
        <v>31395.33</v>
      </c>
    </row>
    <row r="12" spans="1:15" ht="14.25" customHeight="1" x14ac:dyDescent="0.25">
      <c r="A12" s="15" t="str">
        <f>Summary!A13</f>
        <v>October 2023</v>
      </c>
      <c r="B12" s="7">
        <v>1005625.25</v>
      </c>
      <c r="C12" s="7">
        <f>ROUND($B12*0.35,2)+0.02</f>
        <v>351968.86000000004</v>
      </c>
      <c r="D12" s="7">
        <f t="shared" si="0"/>
        <v>30168.76</v>
      </c>
      <c r="E12" s="7">
        <f>ROUND($B12*0.0045,2)</f>
        <v>4525.3100000000004</v>
      </c>
      <c r="F12" s="7">
        <f>ROUND(($B12*0.025)*0.9,2)</f>
        <v>22626.57</v>
      </c>
      <c r="G12" s="7">
        <f>ROUND(($B12*0.02)*0.9,2)+0.01</f>
        <v>18101.259999999998</v>
      </c>
      <c r="H12" s="7">
        <f t="shared" si="2"/>
        <v>20112.509999999998</v>
      </c>
      <c r="I12" s="7">
        <f t="shared" si="3"/>
        <v>30168.76</v>
      </c>
      <c r="J12" s="7">
        <f>ROUND($B12*0.005,2)</f>
        <v>5028.13</v>
      </c>
      <c r="K12" s="7">
        <v>6178.69</v>
      </c>
      <c r="L12" s="7">
        <f>ROUND((($B12*0.22)+$K12)*0.76,2)-0.01</f>
        <v>172836.34</v>
      </c>
      <c r="M12" s="7">
        <f t="shared" si="4"/>
        <v>9096.65</v>
      </c>
      <c r="N12" s="7">
        <f>ROUND((($B12*0.22)+$K12)*0.1,2)+0.1</f>
        <v>22741.719999999998</v>
      </c>
      <c r="O12" s="7">
        <f>ROUND((($B12*0.22)+$K12)*0.1,2)-0.14</f>
        <v>22741.48</v>
      </c>
    </row>
    <row r="13" spans="1:15" ht="14.25" customHeight="1" x14ac:dyDescent="0.25">
      <c r="A13" s="15" t="str">
        <f>Summary!A14</f>
        <v>November 2023</v>
      </c>
      <c r="B13" s="7">
        <v>1277328.75</v>
      </c>
      <c r="C13" s="7">
        <f>ROUND($B13*0.35,2)-0.01</f>
        <v>447065.05</v>
      </c>
      <c r="D13" s="7">
        <f t="shared" si="0"/>
        <v>38319.86</v>
      </c>
      <c r="E13" s="7">
        <f>ROUND($B13*0.0045,2)</f>
        <v>5747.98</v>
      </c>
      <c r="F13" s="7">
        <f>ROUND(($B13*0.025)*0.9,2)-0.01</f>
        <v>28739.890000000003</v>
      </c>
      <c r="G13" s="7">
        <f>ROUND(($B13*0.02)*0.9,2)</f>
        <v>22991.919999999998</v>
      </c>
      <c r="H13" s="7">
        <f t="shared" si="2"/>
        <v>25546.58</v>
      </c>
      <c r="I13" s="7">
        <f t="shared" si="3"/>
        <v>38319.86</v>
      </c>
      <c r="J13" s="7">
        <f>ROUND($B13*0.005,2)+0.01</f>
        <v>6386.6500000000005</v>
      </c>
      <c r="K13" s="7">
        <v>6237.26</v>
      </c>
      <c r="L13" s="7">
        <f>ROUND((($B13*0.22)+$K13)*0.76,2)-0.01</f>
        <v>218309.66999999998</v>
      </c>
      <c r="M13" s="7">
        <f t="shared" si="4"/>
        <v>11489.98</v>
      </c>
      <c r="N13" s="7">
        <f>ROUND((($B13*0.22)+$K13)*0.1,2)-0.07</f>
        <v>28724.89</v>
      </c>
      <c r="O13" s="7">
        <f>ROUND((($B13*0.22)+$K13)*0.1,2)+0.16</f>
        <v>28725.119999999999</v>
      </c>
    </row>
    <row r="14" spans="1:15" ht="14.25" customHeight="1" x14ac:dyDescent="0.25">
      <c r="A14" s="15" t="str">
        <f>Summary!A15</f>
        <v>December 2023</v>
      </c>
      <c r="B14" s="7">
        <v>1249869.83</v>
      </c>
      <c r="C14" s="7">
        <f>ROUND($B14*0.35,2)+0.01</f>
        <v>437454.45</v>
      </c>
      <c r="D14" s="7">
        <f>ROUND($B14*0.03,2)+0.01</f>
        <v>37496.1</v>
      </c>
      <c r="E14" s="7">
        <f>ROUND($B14*0.0045,2)</f>
        <v>5624.41</v>
      </c>
      <c r="F14" s="7">
        <f>ROUND(($B14*0.025)*0.9,2)</f>
        <v>28122.07</v>
      </c>
      <c r="G14" s="7">
        <f>ROUND(($B14*0.02)*0.9,2)</f>
        <v>22497.66</v>
      </c>
      <c r="H14" s="7">
        <f t="shared" si="2"/>
        <v>24997.4</v>
      </c>
      <c r="I14" s="7">
        <f>ROUND($B14*0.03,2)+0.01</f>
        <v>37496.1</v>
      </c>
      <c r="J14" s="7">
        <f t="shared" ref="J14:J20" si="5">ROUND($B14*0.005,2)</f>
        <v>6249.35</v>
      </c>
      <c r="K14" s="7">
        <v>7136.18</v>
      </c>
      <c r="L14" s="7">
        <f>ROUND((($B14*0.22)+$K14)*0.76,2)+0.01</f>
        <v>214401.74000000002</v>
      </c>
      <c r="M14" s="7">
        <f t="shared" si="4"/>
        <v>11284.3</v>
      </c>
      <c r="N14" s="7">
        <f>ROUND((($B14*0.22)+$K14)*0.1,2)+0.01</f>
        <v>28210.76</v>
      </c>
      <c r="O14" s="7">
        <f>ROUND((($B14*0.22)+$K14)*0.1,2)-0.28</f>
        <v>28210.47</v>
      </c>
    </row>
    <row r="15" spans="1:15" ht="14.25" customHeight="1" x14ac:dyDescent="0.25">
      <c r="A15" s="24" t="str">
        <f>Summary!A16</f>
        <v>January 2024</v>
      </c>
      <c r="B15" s="7">
        <v>1205562.3399999999</v>
      </c>
      <c r="C15" s="7">
        <f>ROUND($B15*0.35,2)</f>
        <v>421946.82</v>
      </c>
      <c r="D15" s="7">
        <f>ROUND($B15*0.03,2)+0.01</f>
        <v>36166.880000000005</v>
      </c>
      <c r="E15" s="7">
        <f>ROUND($B15*0.0045,2)+0.01</f>
        <v>5425.04</v>
      </c>
      <c r="F15" s="7">
        <f>ROUND(($B15*0.025)*0.9,2)-0.01</f>
        <v>27125.140000000003</v>
      </c>
      <c r="G15" s="7">
        <f>ROUND(($B15*0.02)*0.9,2)</f>
        <v>21700.12</v>
      </c>
      <c r="H15" s="7">
        <f t="shared" si="2"/>
        <v>24111.25</v>
      </c>
      <c r="I15" s="7">
        <f>ROUND($B15*0.03,2)+0.01</f>
        <v>36166.880000000005</v>
      </c>
      <c r="J15" s="7">
        <f t="shared" si="5"/>
        <v>6027.81</v>
      </c>
      <c r="K15" s="7">
        <v>6801.07</v>
      </c>
      <c r="L15" s="7">
        <f>ROUND((($B15*0.22)+$K15)*0.76,2)-0.02</f>
        <v>206738.82</v>
      </c>
      <c r="M15" s="7">
        <f t="shared" si="4"/>
        <v>10880.99</v>
      </c>
      <c r="N15" s="7">
        <f>ROUND((($B15*0.22)+$K15)*0.1,2)</f>
        <v>27202.48</v>
      </c>
      <c r="O15" s="7">
        <f>ROUND((($B15*0.22)+$K15)*0.1,2)+0.09</f>
        <v>27202.57</v>
      </c>
    </row>
    <row r="16" spans="1:15" ht="14.25" customHeight="1" x14ac:dyDescent="0.25">
      <c r="A16" s="24" t="str">
        <f>Summary!A17</f>
        <v>February 2024</v>
      </c>
      <c r="B16" s="7">
        <v>1219313.0899999999</v>
      </c>
      <c r="C16" s="7">
        <f>ROUND($B16*0.35,2)</f>
        <v>426759.58</v>
      </c>
      <c r="D16" s="7">
        <f>ROUND($B16*0.03,2)+0.01</f>
        <v>36579.4</v>
      </c>
      <c r="E16" s="7">
        <f>ROUND($B16*0.0045,2)</f>
        <v>5486.91</v>
      </c>
      <c r="F16" s="7">
        <f>ROUND(($B16*0.025)*0.9,2)</f>
        <v>27434.54</v>
      </c>
      <c r="G16" s="7">
        <f>ROUND(($B16*0.02)*0.9,2)-0.01</f>
        <v>21947.63</v>
      </c>
      <c r="H16" s="7">
        <f t="shared" si="2"/>
        <v>24386.26</v>
      </c>
      <c r="I16" s="7">
        <f>ROUND($B16*0.03,2)+0.01</f>
        <v>36579.4</v>
      </c>
      <c r="J16" s="7">
        <f t="shared" si="5"/>
        <v>6096.57</v>
      </c>
      <c r="K16" s="7">
        <v>6905.85</v>
      </c>
      <c r="L16" s="7">
        <f>ROUND((($B16*0.22)+$K16)*0.76,2)</f>
        <v>209117.59</v>
      </c>
      <c r="M16" s="7">
        <f t="shared" si="4"/>
        <v>11006.19</v>
      </c>
      <c r="N16" s="7">
        <f>ROUND((($B16*0.22)+$K16)*0.1,2)+0.06</f>
        <v>27515.530000000002</v>
      </c>
      <c r="O16" s="7">
        <f>ROUND((($B16*0.22)+$K16)*0.1,2)+0.03</f>
        <v>27515.5</v>
      </c>
    </row>
    <row r="17" spans="1:15" ht="14.25" customHeight="1" x14ac:dyDescent="0.25">
      <c r="A17" s="24" t="str">
        <f>Summary!A18</f>
        <v>March 2024</v>
      </c>
      <c r="B17" s="7">
        <v>1726575.92</v>
      </c>
      <c r="C17" s="7">
        <f>ROUND($B17*0.35,2)-0.01</f>
        <v>604301.55999999994</v>
      </c>
      <c r="D17" s="7">
        <f>ROUND($B17*0.03,2)</f>
        <v>51797.279999999999</v>
      </c>
      <c r="E17" s="7">
        <f>ROUND($B17*0.0045,2)</f>
        <v>7769.59</v>
      </c>
      <c r="F17" s="7">
        <f>ROUND(($B17*0.025)*0.9,2)</f>
        <v>38847.96</v>
      </c>
      <c r="G17" s="7">
        <f>ROUND(($B17*0.02)*0.9,2)</f>
        <v>31078.37</v>
      </c>
      <c r="H17" s="7">
        <f t="shared" si="2"/>
        <v>34531.519999999997</v>
      </c>
      <c r="I17" s="7">
        <f>ROUND($B17*0.03,2)</f>
        <v>51797.279999999999</v>
      </c>
      <c r="J17" s="7">
        <f t="shared" si="5"/>
        <v>8632.8799999999992</v>
      </c>
      <c r="K17" s="7">
        <v>6791.62</v>
      </c>
      <c r="L17" s="7">
        <f>ROUND((($B17*0.22)+$K17)*0.76,2)-0.02</f>
        <v>293845.11</v>
      </c>
      <c r="M17" s="7">
        <f t="shared" si="4"/>
        <v>15465.53</v>
      </c>
      <c r="N17" s="7">
        <f>ROUND((($B17*0.22)+$K17)*0.1,2)-0.06</f>
        <v>38663.770000000004</v>
      </c>
      <c r="O17" s="7">
        <f>ROUND((($B17*0.22)+$K17)*0.1,2)-0.09</f>
        <v>38663.740000000005</v>
      </c>
    </row>
    <row r="18" spans="1:15" ht="14.25" customHeight="1" x14ac:dyDescent="0.25">
      <c r="A18" s="29" t="s">
        <v>37</v>
      </c>
      <c r="B18" s="7">
        <v>1375859.51</v>
      </c>
      <c r="C18" s="7">
        <f>ROUND($B18*0.35,2)</f>
        <v>481550.83</v>
      </c>
      <c r="D18" s="7">
        <f>ROUND($B18*0.03,2)-0.01</f>
        <v>41275.78</v>
      </c>
      <c r="E18" s="7">
        <f>ROUND($B18*0.0045,2)</f>
        <v>6191.37</v>
      </c>
      <c r="F18" s="7">
        <f>ROUND(($B18*0.025)*0.9,2)</f>
        <v>30956.84</v>
      </c>
      <c r="G18" s="7">
        <f>ROUND(($B18*0.02)*0.9,2)</f>
        <v>24765.47</v>
      </c>
      <c r="H18" s="7">
        <f>ROUND($B18*0.02,2)</f>
        <v>27517.19</v>
      </c>
      <c r="I18" s="7">
        <f>ROUND($B18*0.03,2)-0.01</f>
        <v>41275.78</v>
      </c>
      <c r="J18" s="7">
        <f t="shared" si="5"/>
        <v>6879.3</v>
      </c>
      <c r="K18" s="7">
        <v>5109.7299999999996</v>
      </c>
      <c r="L18" s="7">
        <f>ROUND((($B18*0.22)+$K18)*0.76,2)+0.02</f>
        <v>233927.12</v>
      </c>
      <c r="M18" s="7">
        <f t="shared" si="4"/>
        <v>12311.95</v>
      </c>
      <c r="N18" s="7">
        <f>ROUND((($B18*0.22)+$K18)*0.1,2)+0.01</f>
        <v>30779.89</v>
      </c>
      <c r="O18" s="7">
        <f>ROUND((($B18*0.22)+$K18)*0.1,2)+0.13</f>
        <v>30780.010000000002</v>
      </c>
    </row>
    <row r="19" spans="1:15" ht="14.25" customHeight="1" x14ac:dyDescent="0.25">
      <c r="A19" s="30" t="s">
        <v>38</v>
      </c>
      <c r="B19" s="7">
        <v>1177275.22</v>
      </c>
      <c r="C19" s="7">
        <f>ROUND($B19*0.35,2)</f>
        <v>412046.33</v>
      </c>
      <c r="D19" s="7">
        <f>ROUND($B19*0.03,2)</f>
        <v>35318.26</v>
      </c>
      <c r="E19" s="7">
        <f>ROUND($B19*0.0045,2)</f>
        <v>5297.74</v>
      </c>
      <c r="F19" s="7">
        <f>ROUND(($B19*0.025)*0.9,2)</f>
        <v>26488.69</v>
      </c>
      <c r="G19" s="7">
        <f>ROUND(($B19*0.02)*0.9,2)</f>
        <v>21190.95</v>
      </c>
      <c r="H19" s="7">
        <f>ROUND($B19*0.02,2)</f>
        <v>23545.5</v>
      </c>
      <c r="I19" s="7">
        <f>ROUND($B19*0.03,2)</f>
        <v>35318.26</v>
      </c>
      <c r="J19" s="7">
        <f t="shared" si="5"/>
        <v>5886.38</v>
      </c>
      <c r="K19" s="7">
        <v>5184.37</v>
      </c>
      <c r="L19" s="31">
        <f>ROUND((($B19*0.22)+$K19)*0.76,2)</f>
        <v>200780.54</v>
      </c>
      <c r="M19" s="7">
        <f t="shared" si="4"/>
        <v>10567.4</v>
      </c>
      <c r="N19" s="7">
        <f>ROUND((($B19*0.22)+$K19)*0.1,2)+0.04</f>
        <v>26418.530000000002</v>
      </c>
      <c r="O19" s="7">
        <f>ROUND((($B19*0.22)+$K19)*0.1,2)-0.31</f>
        <v>26418.18</v>
      </c>
    </row>
    <row r="20" spans="1:15" ht="14.25" customHeight="1" x14ac:dyDescent="0.25">
      <c r="A20" s="32" t="s">
        <v>40</v>
      </c>
      <c r="B20" s="7">
        <v>1204195.75</v>
      </c>
      <c r="C20" s="7">
        <f>ROUND($B20*0.35,2)+0.01</f>
        <v>421468.52</v>
      </c>
      <c r="D20" s="7">
        <f>ROUND($B20*0.03,2)+0.01</f>
        <v>36125.880000000005</v>
      </c>
      <c r="E20" s="7">
        <f>ROUND($B20*0.0045,2)+0.01</f>
        <v>5418.89</v>
      </c>
      <c r="F20" s="7">
        <f>ROUND(($B20*0.025)*0.9,2)</f>
        <v>27094.400000000001</v>
      </c>
      <c r="G20" s="7">
        <f>ROUND(($B20*0.02)*0.9,2)+0.01</f>
        <v>21675.53</v>
      </c>
      <c r="H20" s="7">
        <f>ROUND($B20*0.02,2)</f>
        <v>24083.919999999998</v>
      </c>
      <c r="I20" s="7">
        <f>ROUND($B20*0.03,2)+0.01</f>
        <v>36125.880000000005</v>
      </c>
      <c r="J20" s="7">
        <f t="shared" si="5"/>
        <v>6020.98</v>
      </c>
      <c r="K20" s="7">
        <v>4852.55</v>
      </c>
      <c r="L20" s="31">
        <f>ROUND((($B20*0.22)+$K20)*0.76,2)-0.02</f>
        <v>205029.45</v>
      </c>
      <c r="M20" s="7">
        <f t="shared" si="4"/>
        <v>10791.02</v>
      </c>
      <c r="N20" s="7">
        <f>ROUND((($B20*0.22)+$K20)*0.1,2)-0.09</f>
        <v>26977.47</v>
      </c>
      <c r="O20" s="7">
        <f>ROUND((($B20*0.22)+$K20)*0.1,2)+0.36</f>
        <v>26977.920000000002</v>
      </c>
    </row>
    <row r="22" spans="1:15" ht="15" customHeight="1" thickBot="1" x14ac:dyDescent="0.3">
      <c r="B22" s="8">
        <f t="shared" ref="B22:O22" si="6">SUM(B9:B21)</f>
        <v>15694924.16</v>
      </c>
      <c r="C22" s="8">
        <f t="shared" si="6"/>
        <v>5493223.4800000004</v>
      </c>
      <c r="D22" s="8">
        <f t="shared" si="6"/>
        <v>470847.76000000013</v>
      </c>
      <c r="E22" s="8">
        <f t="shared" si="6"/>
        <v>70627.19</v>
      </c>
      <c r="F22" s="8">
        <f t="shared" si="6"/>
        <v>353135.76000000013</v>
      </c>
      <c r="G22" s="8">
        <f t="shared" si="6"/>
        <v>282508.64</v>
      </c>
      <c r="H22" s="8">
        <f t="shared" si="6"/>
        <v>313898.50999999995</v>
      </c>
      <c r="I22" s="8">
        <f t="shared" si="6"/>
        <v>470847.76000000013</v>
      </c>
      <c r="J22" s="8">
        <f t="shared" si="6"/>
        <v>78474.63</v>
      </c>
      <c r="K22" s="8">
        <f t="shared" si="6"/>
        <v>75403.14</v>
      </c>
      <c r="L22" s="8">
        <f t="shared" si="6"/>
        <v>2681497.6400000006</v>
      </c>
      <c r="M22" s="8">
        <f t="shared" si="6"/>
        <v>141131.45000000001</v>
      </c>
      <c r="N22" s="8">
        <f t="shared" si="6"/>
        <v>352828.53</v>
      </c>
      <c r="O22" s="8">
        <f t="shared" si="6"/>
        <v>352828.88</v>
      </c>
    </row>
    <row r="23" spans="1:15" ht="15" customHeight="1" thickTop="1" x14ac:dyDescent="0.25"/>
    <row r="24" spans="1:15" ht="15" customHeight="1" x14ac:dyDescent="0.25">
      <c r="A24" s="9" t="s">
        <v>14</v>
      </c>
    </row>
    <row r="25" spans="1:15" ht="15" customHeight="1" x14ac:dyDescent="0.25">
      <c r="A25" s="9" t="s">
        <v>15</v>
      </c>
    </row>
  </sheetData>
  <mergeCells count="2">
    <mergeCell ref="A1:O1"/>
    <mergeCell ref="A7:O7"/>
  </mergeCells>
  <pageMargins left="0.25" right="0.25" top="0.5" bottom="0.5" header="0" footer="0"/>
  <pageSetup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workbookViewId="0">
      <selection activeCell="O21" sqref="O21"/>
    </sheetView>
  </sheetViews>
  <sheetFormatPr defaultColWidth="9.140625" defaultRowHeight="15" customHeight="1" x14ac:dyDescent="0.25"/>
  <cols>
    <col min="1" max="1" width="15.7109375" style="1" customWidth="1"/>
    <col min="2" max="3" width="16.140625" style="1" bestFit="1" customWidth="1"/>
    <col min="4" max="4" width="15" style="1" bestFit="1" customWidth="1"/>
    <col min="5" max="5" width="13.7109375" style="1" customWidth="1"/>
    <col min="6" max="9" width="15" style="1" bestFit="1" customWidth="1"/>
    <col min="10" max="10" width="13.28515625" style="1" bestFit="1" customWidth="1"/>
    <col min="11" max="11" width="11.85546875" style="1" customWidth="1"/>
    <col min="12" max="12" width="16.140625" style="1" bestFit="1" customWidth="1"/>
    <col min="13" max="13" width="13.28515625" style="1" bestFit="1" customWidth="1"/>
    <col min="14" max="15" width="15" style="1" bestFit="1" customWidth="1"/>
    <col min="16" max="16384" width="9.140625" style="1"/>
  </cols>
  <sheetData>
    <row r="1" spans="1:15" ht="15" customHeight="1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5" customHeight="1" x14ac:dyDescent="0.25">
      <c r="A2" s="14"/>
    </row>
    <row r="3" spans="1:15" ht="15" customHeight="1" x14ac:dyDescent="0.25">
      <c r="A3" s="11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6" t="s">
        <v>24</v>
      </c>
      <c r="B5" s="10">
        <v>65739477.120000005</v>
      </c>
      <c r="C5" s="10">
        <v>23008817.050000004</v>
      </c>
      <c r="D5" s="10">
        <v>1972184.3399999999</v>
      </c>
      <c r="E5" s="10">
        <v>295827.65000000002</v>
      </c>
      <c r="F5" s="10">
        <v>1479138.2399999998</v>
      </c>
      <c r="G5" s="10">
        <v>1183310.6100000001</v>
      </c>
      <c r="H5" s="10">
        <v>1314789.56</v>
      </c>
      <c r="I5" s="10">
        <v>1972184.3399999999</v>
      </c>
      <c r="J5" s="10">
        <v>328697.38</v>
      </c>
      <c r="K5" s="10">
        <v>50702.14</v>
      </c>
      <c r="L5" s="10">
        <v>11030174.16</v>
      </c>
      <c r="M5" s="10">
        <v>580535.49000000011</v>
      </c>
      <c r="N5" s="10">
        <v>1451338.71</v>
      </c>
      <c r="O5" s="10">
        <v>1451338.5100000002</v>
      </c>
    </row>
    <row r="7" spans="1:15" ht="15" customHeight="1" x14ac:dyDescent="0.25">
      <c r="A7" s="36" t="s">
        <v>25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9" spans="1:15" ht="14.25" customHeight="1" x14ac:dyDescent="0.25">
      <c r="A9" s="15" t="str">
        <f>Summary!A10</f>
        <v>July 2023</v>
      </c>
      <c r="B9" s="7">
        <v>5911476</v>
      </c>
      <c r="C9" s="7">
        <f>ROUND($B9*0.35,2)</f>
        <v>2069016.6</v>
      </c>
      <c r="D9" s="7">
        <f>ROUND($B9*0.03,2)</f>
        <v>177344.28</v>
      </c>
      <c r="E9" s="7">
        <f>ROUND($B9*0.0045,2)</f>
        <v>26601.64</v>
      </c>
      <c r="F9" s="7">
        <f t="shared" ref="F9" si="0">ROUND(($B9*0.025)*0.9,2)</f>
        <v>133008.21</v>
      </c>
      <c r="G9" s="7">
        <f>ROUND(($B9*0.02)*0.9,2)</f>
        <v>106406.57</v>
      </c>
      <c r="H9" s="7">
        <f>ROUND($B9*0.02,2)</f>
        <v>118229.52</v>
      </c>
      <c r="I9" s="7">
        <f>ROUND($B9*0.03,2)</f>
        <v>177344.28</v>
      </c>
      <c r="J9" s="7">
        <f t="shared" ref="J9:J16" si="1">ROUND($B9*0.005,2)</f>
        <v>29557.38</v>
      </c>
      <c r="K9" s="7">
        <v>7066.57</v>
      </c>
      <c r="L9" s="7">
        <f>ROUND((($B9*0.22)+$K9)*0.76,2)</f>
        <v>993769.38</v>
      </c>
      <c r="M9" s="7">
        <f t="shared" ref="M9:M13" si="2">ROUND((($B9*0.22)+$K9)*0.04,2)</f>
        <v>52303.65</v>
      </c>
      <c r="N9" s="7">
        <f>ROUND((($B9*0.22)+$K9)*0.1,2)-0.06</f>
        <v>130759.07</v>
      </c>
      <c r="O9" s="7">
        <f>ROUND((($B9*0.22)+$K9)*0.1,2)+0.14</f>
        <v>130759.27</v>
      </c>
    </row>
    <row r="10" spans="1:15" ht="14.25" customHeight="1" x14ac:dyDescent="0.25">
      <c r="A10" s="15" t="str">
        <f>Summary!A11</f>
        <v>August 2023</v>
      </c>
      <c r="B10" s="7">
        <v>5028490</v>
      </c>
      <c r="C10" s="7">
        <f>ROUND($B10*0.35,2)+0.02</f>
        <v>1759971.52</v>
      </c>
      <c r="D10" s="7">
        <f>ROUND($B10*0.03,2)</f>
        <v>150854.70000000001</v>
      </c>
      <c r="E10" s="7">
        <f>ROUND($B10*0.0045,2)</f>
        <v>22628.21</v>
      </c>
      <c r="F10" s="7">
        <f>ROUND(($B10*0.025)*0.9,2)-0.01</f>
        <v>113141.02</v>
      </c>
      <c r="G10" s="7">
        <f>ROUND(($B10*0.02)*0.9,2)</f>
        <v>90512.82</v>
      </c>
      <c r="H10" s="7">
        <f>ROUND($B10*0.02,2)</f>
        <v>100569.8</v>
      </c>
      <c r="I10" s="7">
        <f>ROUND($B10*0.03,2)</f>
        <v>150854.70000000001</v>
      </c>
      <c r="J10" s="7">
        <f t="shared" si="1"/>
        <v>25142.45</v>
      </c>
      <c r="K10" s="7">
        <v>6575.3</v>
      </c>
      <c r="L10" s="7">
        <f>ROUND((($B10*0.22)+$K10)*0.76,2)+0.02</f>
        <v>845760.78</v>
      </c>
      <c r="M10" s="7">
        <f t="shared" si="2"/>
        <v>44513.72</v>
      </c>
      <c r="N10" s="7">
        <f>ROUND((($B10*0.22)+$K10)*0.1,2)+0.08</f>
        <v>111284.39</v>
      </c>
      <c r="O10" s="7">
        <f>ROUND((($B10*0.22)+$K10)*0.1,2)+0.13</f>
        <v>111284.44</v>
      </c>
    </row>
    <row r="11" spans="1:15" ht="14.25" customHeight="1" x14ac:dyDescent="0.25">
      <c r="A11" s="15" t="str">
        <f>Summary!A12</f>
        <v>September 2023</v>
      </c>
      <c r="B11" s="7">
        <v>4762198.25</v>
      </c>
      <c r="C11" s="7">
        <f>ROUND($B11*0.35,2)-0.01</f>
        <v>1666769.38</v>
      </c>
      <c r="D11" s="7">
        <f>ROUND($B11*0.03,2)-0.01</f>
        <v>142865.94</v>
      </c>
      <c r="E11" s="7">
        <f>ROUND($B11*0.0045,2)</f>
        <v>21429.89</v>
      </c>
      <c r="F11" s="7">
        <f>ROUND(($B11*0.025)*0.9,2)</f>
        <v>107149.46</v>
      </c>
      <c r="G11" s="7">
        <f>ROUND(($B11*0.02)*0.9,2)</f>
        <v>85719.57</v>
      </c>
      <c r="H11" s="7">
        <f>ROUND($B11*0.02,2)-0.01</f>
        <v>95243.96</v>
      </c>
      <c r="I11" s="7">
        <f>ROUND($B11*0.03,2)-0.01</f>
        <v>142865.94</v>
      </c>
      <c r="J11" s="7">
        <f t="shared" si="1"/>
        <v>23810.99</v>
      </c>
      <c r="K11" s="7">
        <v>6563.94</v>
      </c>
      <c r="L11" s="7">
        <f>ROUND((($B11*0.22)+$K11)*0.76,2)+0.01</f>
        <v>801228.15</v>
      </c>
      <c r="M11" s="7">
        <f t="shared" si="2"/>
        <v>42169.9</v>
      </c>
      <c r="N11" s="7">
        <f>ROUND((($B11*0.22)+$K11)*0.1,2)-0.12</f>
        <v>105424.64</v>
      </c>
      <c r="O11" s="7">
        <f>ROUND((($B11*0.22)+$K11)*0.1,2)+0.03</f>
        <v>105424.79</v>
      </c>
    </row>
    <row r="12" spans="1:15" ht="14.25" customHeight="1" x14ac:dyDescent="0.25">
      <c r="A12" s="15" t="str">
        <f>Summary!A13</f>
        <v>October 2023</v>
      </c>
      <c r="B12" s="7">
        <v>4774294.75</v>
      </c>
      <c r="C12" s="7">
        <f>ROUND($B12*0.35,2)+0.01</f>
        <v>1671003.17</v>
      </c>
      <c r="D12" s="7">
        <f>ROUND($B12*0.03,2)-0.02</f>
        <v>143228.82</v>
      </c>
      <c r="E12" s="7">
        <f>ROUND($B12*0.0045,2)-0.02</f>
        <v>21484.31</v>
      </c>
      <c r="F12" s="7">
        <f>ROUND(($B12*0.025)*0.9,2)</f>
        <v>107421.63</v>
      </c>
      <c r="G12" s="7">
        <f>ROUND(($B12*0.02)*0.9,2)</f>
        <v>85937.31</v>
      </c>
      <c r="H12" s="7">
        <f>ROUND($B12*0.02,2)-0.02</f>
        <v>95485.87999999999</v>
      </c>
      <c r="I12" s="7">
        <f>ROUND($B12*0.03,2)-0.02</f>
        <v>143228.82</v>
      </c>
      <c r="J12" s="7">
        <f t="shared" si="1"/>
        <v>23871.47</v>
      </c>
      <c r="K12" s="7">
        <v>6178.69</v>
      </c>
      <c r="L12" s="7">
        <f>ROUND((($B12*0.22)+$K12)*0.76,2)+0.07</f>
        <v>802957.96</v>
      </c>
      <c r="M12" s="7">
        <f t="shared" si="2"/>
        <v>42260.94</v>
      </c>
      <c r="N12" s="7">
        <f>ROUND((($B12*0.22)+$K12)*0.1,2)+0.11</f>
        <v>105652.46</v>
      </c>
      <c r="O12" s="7">
        <f>ROUND((($B12*0.22)+$K12)*0.1,2)-0.13</f>
        <v>105652.22</v>
      </c>
    </row>
    <row r="13" spans="1:15" ht="14.25" customHeight="1" x14ac:dyDescent="0.25">
      <c r="A13" s="15" t="str">
        <f>Summary!A14</f>
        <v>November 2023</v>
      </c>
      <c r="B13" s="7">
        <v>4704357</v>
      </c>
      <c r="C13" s="7">
        <f>ROUND($B13*0.35,2)+0.02</f>
        <v>1646524.97</v>
      </c>
      <c r="D13" s="7">
        <f>ROUND($B13*0.03,2)+0.03</f>
        <v>141130.74</v>
      </c>
      <c r="E13" s="7">
        <f>ROUND($B13*0.0045,2)</f>
        <v>21169.61</v>
      </c>
      <c r="F13" s="7">
        <f>ROUND(($B13*0.025)*0.9,2)</f>
        <v>105848.03</v>
      </c>
      <c r="G13" s="7">
        <f>ROUND(($B13*0.02)*0.9,2)+0.01</f>
        <v>84678.439999999988</v>
      </c>
      <c r="H13" s="7">
        <f>ROUND($B13*0.02,2)+0.02</f>
        <v>94087.16</v>
      </c>
      <c r="I13" s="7">
        <f>ROUND($B13*0.03,2)+0.03</f>
        <v>141130.74</v>
      </c>
      <c r="J13" s="7">
        <f t="shared" si="1"/>
        <v>23521.79</v>
      </c>
      <c r="K13" s="7">
        <v>6237.27</v>
      </c>
      <c r="L13" s="7">
        <f>ROUND((($B13*0.22)+$K13)*0.76,2)-0.06</f>
        <v>791308.75999999989</v>
      </c>
      <c r="M13" s="7">
        <f t="shared" si="2"/>
        <v>41647.83</v>
      </c>
      <c r="N13" s="7">
        <f>ROUND((($B13*0.22)+$K13)*0.1,2)-0.1</f>
        <v>104119.48</v>
      </c>
      <c r="O13" s="7">
        <f>ROUND((($B13*0.22)+$K13)*0.1,2)+0.13</f>
        <v>104119.71</v>
      </c>
    </row>
    <row r="14" spans="1:15" ht="14.25" customHeight="1" x14ac:dyDescent="0.25">
      <c r="A14" s="15" t="str">
        <f>Summary!A15</f>
        <v>December 2023</v>
      </c>
      <c r="B14" s="7">
        <v>5172758.5</v>
      </c>
      <c r="C14" s="7">
        <f>ROUND($B14*0.35,2)+0.01</f>
        <v>1810465.49</v>
      </c>
      <c r="D14" s="7">
        <f>ROUND($B14*0.03,2)-0.02</f>
        <v>155182.74000000002</v>
      </c>
      <c r="E14" s="7">
        <f>ROUND($B14*0.0045,2)+0.01</f>
        <v>23277.42</v>
      </c>
      <c r="F14" s="7">
        <f>ROUND(($B14*0.025)*0.9,2)-0.01</f>
        <v>116387.06000000001</v>
      </c>
      <c r="G14" s="7">
        <f>ROUND(($B14*0.02)*0.9,2)-0.01</f>
        <v>93109.64</v>
      </c>
      <c r="H14" s="7">
        <f>ROUND($B14*0.02,2)-0.01</f>
        <v>103455.16</v>
      </c>
      <c r="I14" s="7">
        <f>ROUND($B14*0.03,2)-0.02</f>
        <v>155182.74000000002</v>
      </c>
      <c r="J14" s="7">
        <f t="shared" si="1"/>
        <v>25863.79</v>
      </c>
      <c r="K14" s="7">
        <v>7136.19</v>
      </c>
      <c r="L14" s="7">
        <f>ROUND((($B14*0.22)+$K14)*0.76,2)+0.05</f>
        <v>870308.78</v>
      </c>
      <c r="M14" s="7">
        <f>ROUND((($B14*0.22)+$K14)*0.04,2)+0.01</f>
        <v>45805.73</v>
      </c>
      <c r="N14" s="7">
        <f>ROUND((($B14*0.22)+$K14)*0.1,2)+0.02</f>
        <v>114514.33</v>
      </c>
      <c r="O14" s="7">
        <f>ROUND((($B14*0.22)+$K14)*0.1,2)-0.26</f>
        <v>114514.05</v>
      </c>
    </row>
    <row r="15" spans="1:15" ht="14.25" customHeight="1" x14ac:dyDescent="0.25">
      <c r="A15" s="24" t="str">
        <f>Summary!A16</f>
        <v>January 2024</v>
      </c>
      <c r="B15" s="7">
        <v>4398014</v>
      </c>
      <c r="C15" s="7">
        <f>ROUND($B15*0.35,2)</f>
        <v>1539304.9</v>
      </c>
      <c r="D15" s="7">
        <f>ROUND($B15*0.03,2)</f>
        <v>131940.42000000001</v>
      </c>
      <c r="E15" s="7">
        <f>ROUND($B15*0.0045,2)+0.01</f>
        <v>19791.07</v>
      </c>
      <c r="F15" s="7">
        <f>ROUND(($B15*0.025)*0.9,2)-0.01</f>
        <v>98955.310000000012</v>
      </c>
      <c r="G15" s="7">
        <f>ROUND(($B15*0.02)*0.9,2)</f>
        <v>79164.25</v>
      </c>
      <c r="H15" s="7">
        <f>ROUND($B15*0.02,2)</f>
        <v>87960.28</v>
      </c>
      <c r="I15" s="7">
        <f>ROUND($B15*0.03,2)</f>
        <v>131940.42000000001</v>
      </c>
      <c r="J15" s="7">
        <f t="shared" si="1"/>
        <v>21990.07</v>
      </c>
      <c r="K15" s="7">
        <v>6801.06</v>
      </c>
      <c r="L15" s="7">
        <f>ROUND((($B15*0.22)+$K15)*0.76,2)</f>
        <v>740516.75</v>
      </c>
      <c r="M15" s="7">
        <f t="shared" ref="M15:M20" si="3">ROUND((($B15*0.22)+$K15)*0.04,2)</f>
        <v>38974.57</v>
      </c>
      <c r="N15" s="7">
        <f>ROUND((($B15*0.22)+$K15)*0.1,2)-0.01</f>
        <v>97436.400000000009</v>
      </c>
      <c r="O15" s="7">
        <f>ROUND((($B15*0.22)+$K15)*0.1,2)+0.08</f>
        <v>97436.49</v>
      </c>
    </row>
    <row r="16" spans="1:15" ht="14.25" customHeight="1" x14ac:dyDescent="0.25">
      <c r="A16" s="24" t="str">
        <f>Summary!A17</f>
        <v>February 2024</v>
      </c>
      <c r="B16" s="7">
        <v>5319521.28</v>
      </c>
      <c r="C16" s="7">
        <f>ROUND($B16*0.35,2)+0.01</f>
        <v>1861832.46</v>
      </c>
      <c r="D16" s="7">
        <f>ROUND($B16*0.03,2)+0.02</f>
        <v>159585.66</v>
      </c>
      <c r="E16" s="7">
        <f>ROUND($B16*0.0045,2)-0.01</f>
        <v>23937.84</v>
      </c>
      <c r="F16" s="7">
        <f>ROUND(($B16*0.025)*0.9,2)</f>
        <v>119689.23</v>
      </c>
      <c r="G16" s="7">
        <f>ROUND(($B16*0.02)*0.9,2)+0.02</f>
        <v>95751.400000000009</v>
      </c>
      <c r="H16" s="7">
        <f>ROUND($B16*0.02,2)+0.01</f>
        <v>106390.43999999999</v>
      </c>
      <c r="I16" s="7">
        <f>ROUND($B16*0.03,2)+0.02</f>
        <v>159585.66</v>
      </c>
      <c r="J16" s="7">
        <f t="shared" si="1"/>
        <v>26597.61</v>
      </c>
      <c r="K16" s="7">
        <v>6905.84</v>
      </c>
      <c r="L16" s="7">
        <f>ROUND((($B16*0.22)+$K16)*0.76,2)-0.06</f>
        <v>894672.34</v>
      </c>
      <c r="M16" s="7">
        <f t="shared" si="3"/>
        <v>47088.02</v>
      </c>
      <c r="N16" s="7">
        <f>ROUND((($B16*0.22)+$K16)*0.1,2)+0.07</f>
        <v>117720.12000000001</v>
      </c>
      <c r="O16" s="7">
        <f>ROUND((($B16*0.22)+$K16)*0.1,2)+0.03</f>
        <v>117720.08</v>
      </c>
    </row>
    <row r="17" spans="1:15" ht="14.25" customHeight="1" x14ac:dyDescent="0.25">
      <c r="A17" s="24" t="str">
        <f>Summary!A18</f>
        <v>March 2024</v>
      </c>
      <c r="B17" s="7">
        <v>6136691</v>
      </c>
      <c r="C17" s="7">
        <f>ROUND($B17*0.35,2)</f>
        <v>2147841.85</v>
      </c>
      <c r="D17" s="7">
        <f>ROUND($B17*0.03,2)-0.03</f>
        <v>184100.7</v>
      </c>
      <c r="E17" s="7">
        <f>ROUND($B17*0.0045,2)-0.01</f>
        <v>27615.100000000002</v>
      </c>
      <c r="F17" s="7">
        <f>ROUND(($B17*0.025)*0.9,2)</f>
        <v>138075.54999999999</v>
      </c>
      <c r="G17" s="7">
        <f>ROUND(($B17*0.02)*0.9,2)-0.01</f>
        <v>110460.43000000001</v>
      </c>
      <c r="H17" s="7">
        <f>ROUND($B17*0.02,2)-0.02</f>
        <v>122733.8</v>
      </c>
      <c r="I17" s="7">
        <f>ROUND($B17*0.03,2)-0.03</f>
        <v>184100.7</v>
      </c>
      <c r="J17" s="7">
        <f>ROUND($B17*0.005,2)-0.01</f>
        <v>30683.45</v>
      </c>
      <c r="K17" s="7">
        <v>6791.62</v>
      </c>
      <c r="L17" s="7">
        <f>ROUND((($B17*0.22)+$K17)*0.76,2)+0.08</f>
        <v>1031216.45</v>
      </c>
      <c r="M17" s="7">
        <f t="shared" si="3"/>
        <v>54274.55</v>
      </c>
      <c r="N17" s="7">
        <f>ROUND((($B17*0.22)+$K17)*0.1,2)-0.05</f>
        <v>135686.31</v>
      </c>
      <c r="O17" s="7">
        <f>ROUND((($B17*0.22)+$K17)*0.1,2)-0.08</f>
        <v>135686.28</v>
      </c>
    </row>
    <row r="18" spans="1:15" ht="14.25" customHeight="1" x14ac:dyDescent="0.25">
      <c r="A18" s="29" t="s">
        <v>37</v>
      </c>
      <c r="B18" s="7">
        <v>5341200</v>
      </c>
      <c r="C18" s="7">
        <f>ROUND($B18*0.35,2)</f>
        <v>1869420</v>
      </c>
      <c r="D18" s="7">
        <f>ROUND($B18*0.03,2)</f>
        <v>160236</v>
      </c>
      <c r="E18" s="7">
        <f>ROUND($B18*0.0045,2)</f>
        <v>24035.4</v>
      </c>
      <c r="F18" s="7">
        <f>ROUND(($B18*0.025)*0.9,2)</f>
        <v>120177</v>
      </c>
      <c r="G18" s="7">
        <f>ROUND(($B18*0.02)*0.9,2)</f>
        <v>96141.6</v>
      </c>
      <c r="H18" s="7">
        <f>ROUND($B18*0.02,2)</f>
        <v>106824</v>
      </c>
      <c r="I18" s="7">
        <f>ROUND($B18*0.03,2)</f>
        <v>160236</v>
      </c>
      <c r="J18" s="7">
        <f>ROUND($B18*0.005,2)</f>
        <v>26706</v>
      </c>
      <c r="K18" s="7">
        <v>5109.7299999999996</v>
      </c>
      <c r="L18" s="7">
        <f>ROUND((($B18*0.22)+$K18)*0.76,2)+0.011</f>
        <v>896932.04100000008</v>
      </c>
      <c r="M18" s="7">
        <f t="shared" si="3"/>
        <v>47206.95</v>
      </c>
      <c r="N18" s="7">
        <f>ROUND((($B18*0.22)+$K18)*0.1,2)+0.01</f>
        <v>118017.37999999999</v>
      </c>
      <c r="O18" s="7">
        <f>ROUND((($B18*0.22)+$K18)*0.1,2)+0.12</f>
        <v>118017.48999999999</v>
      </c>
    </row>
    <row r="19" spans="1:15" ht="14.25" customHeight="1" x14ac:dyDescent="0.25">
      <c r="A19" s="30" t="s">
        <v>38</v>
      </c>
      <c r="B19" s="7">
        <v>4885093.2</v>
      </c>
      <c r="C19" s="7">
        <f>ROUND($B19*0.35,2)+0.01</f>
        <v>1709782.6300000001</v>
      </c>
      <c r="D19" s="7">
        <f>ROUND($B19*0.03,2)+0.02</f>
        <v>146552.81999999998</v>
      </c>
      <c r="E19" s="7">
        <f>ROUND($B19*0.0045,2)</f>
        <v>21982.92</v>
      </c>
      <c r="F19" s="7">
        <f>ROUND(($B19*0.025)*0.9,2)</f>
        <v>109914.6</v>
      </c>
      <c r="G19" s="7">
        <f>ROUND(($B19*0.02)*0.9,2)+0.01</f>
        <v>87931.689999999988</v>
      </c>
      <c r="H19" s="7">
        <f>ROUND($B19*0.02,2)+0.02</f>
        <v>97701.88</v>
      </c>
      <c r="I19" s="7">
        <f>ROUND($B19*0.03,2)+0.02</f>
        <v>146552.81999999998</v>
      </c>
      <c r="J19" s="7">
        <f>ROUND($B19*0.005,2)</f>
        <v>24425.47</v>
      </c>
      <c r="K19" s="7">
        <v>5184.3599999999997</v>
      </c>
      <c r="L19" s="7">
        <f>ROUND((($B19*0.22)+$K19)*0.76,2)-0.06</f>
        <v>820727.6399999999</v>
      </c>
      <c r="M19" s="7">
        <f t="shared" si="3"/>
        <v>43196.19</v>
      </c>
      <c r="N19" s="7">
        <f>ROUND((($B19*0.22)+$K19)*0.1,2)+0.03</f>
        <v>107990.52</v>
      </c>
      <c r="O19" s="7">
        <f>ROUND((($B19*0.22)+$K19)*0.1,2)-0.31</f>
        <v>107990.18000000001</v>
      </c>
    </row>
    <row r="20" spans="1:15" ht="14.25" customHeight="1" x14ac:dyDescent="0.25">
      <c r="A20" s="32" t="s">
        <v>40</v>
      </c>
      <c r="B20" s="7">
        <v>4943800.25</v>
      </c>
      <c r="C20" s="7">
        <f>ROUND($B20*0.35,2)+0.01</f>
        <v>1730330.1</v>
      </c>
      <c r="D20" s="7">
        <f>ROUND($B20*0.03,2)-0.01</f>
        <v>148314</v>
      </c>
      <c r="E20" s="7">
        <f>ROUND($B20*0.0045,2)</f>
        <v>22247.1</v>
      </c>
      <c r="F20" s="7">
        <f>ROUND(($B20*0.025)*0.9,2)</f>
        <v>111235.51</v>
      </c>
      <c r="G20" s="7">
        <f>ROUND(($B20*0.02)*0.9,2)</f>
        <v>88988.4</v>
      </c>
      <c r="H20" s="7">
        <f>ROUND($B20*0.02,2)-0.01</f>
        <v>98876</v>
      </c>
      <c r="I20" s="7">
        <f>ROUND($B20*0.03,2)-0.01</f>
        <v>148314</v>
      </c>
      <c r="J20" s="7">
        <f>ROUND($B20*0.005,2)</f>
        <v>24719</v>
      </c>
      <c r="K20" s="7">
        <v>4852.5600000000004</v>
      </c>
      <c r="L20" s="7">
        <f>ROUND((($B20*0.22)+$K20)*0.76,2)+0.01</f>
        <v>830291.36</v>
      </c>
      <c r="M20" s="7">
        <f>ROUND((($B20*0.22)+$K20)*0.04,2)+0.01</f>
        <v>43699.55</v>
      </c>
      <c r="N20" s="7">
        <f>ROUND((($B20*0.22)+$K20)*0.1,2)-0.08</f>
        <v>109248.78</v>
      </c>
      <c r="O20" s="7">
        <f>ROUND((($B20*0.22)+$K20)*0.1,2)+0.36</f>
        <v>109249.22</v>
      </c>
    </row>
    <row r="22" spans="1:15" ht="15" customHeight="1" thickBot="1" x14ac:dyDescent="0.3">
      <c r="B22" s="8">
        <f t="shared" ref="B22:O22" si="4">SUM(B9:B21)</f>
        <v>61377894.230000004</v>
      </c>
      <c r="C22" s="8">
        <f t="shared" si="4"/>
        <v>21482263.070000004</v>
      </c>
      <c r="D22" s="8">
        <f t="shared" si="4"/>
        <v>1841336.82</v>
      </c>
      <c r="E22" s="8">
        <f t="shared" si="4"/>
        <v>276200.50999999995</v>
      </c>
      <c r="F22" s="8">
        <f t="shared" si="4"/>
        <v>1381002.61</v>
      </c>
      <c r="G22" s="8">
        <f t="shared" si="4"/>
        <v>1104802.1199999999</v>
      </c>
      <c r="H22" s="8">
        <f t="shared" si="4"/>
        <v>1227557.8800000001</v>
      </c>
      <c r="I22" s="8">
        <f t="shared" si="4"/>
        <v>1841336.82</v>
      </c>
      <c r="J22" s="8">
        <f t="shared" si="4"/>
        <v>306889.47000000009</v>
      </c>
      <c r="K22" s="8">
        <f t="shared" si="4"/>
        <v>75403.13</v>
      </c>
      <c r="L22" s="8">
        <f t="shared" si="4"/>
        <v>10319690.391000001</v>
      </c>
      <c r="M22" s="8">
        <f t="shared" si="4"/>
        <v>543141.6</v>
      </c>
      <c r="N22" s="8">
        <f t="shared" si="4"/>
        <v>1357853.88</v>
      </c>
      <c r="O22" s="8">
        <f t="shared" si="4"/>
        <v>1357854.2199999997</v>
      </c>
    </row>
    <row r="23" spans="1:15" ht="15" customHeight="1" thickTop="1" x14ac:dyDescent="0.25"/>
    <row r="24" spans="1:15" ht="15" customHeight="1" x14ac:dyDescent="0.25">
      <c r="A24" s="9" t="s">
        <v>14</v>
      </c>
    </row>
    <row r="25" spans="1:15" ht="15" customHeight="1" x14ac:dyDescent="0.25">
      <c r="A25" s="9" t="s">
        <v>15</v>
      </c>
    </row>
  </sheetData>
  <mergeCells count="2">
    <mergeCell ref="A1:O1"/>
    <mergeCell ref="A7:O7"/>
  </mergeCells>
  <pageMargins left="0.25" right="0.25" top="0.5" bottom="0.5" header="0" footer="0"/>
  <pageSetup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Emma Fowler</cp:lastModifiedBy>
  <cp:lastPrinted>2022-05-24T13:43:06Z</cp:lastPrinted>
  <dcterms:created xsi:type="dcterms:W3CDTF">2017-06-26T17:33:37Z</dcterms:created>
  <dcterms:modified xsi:type="dcterms:W3CDTF">2024-07-09T15:12:36Z</dcterms:modified>
</cp:coreProperties>
</file>